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Assumptions" sheetId="2" r:id="rId2"/>
    <sheet name="Annual Cash Flow" sheetId="3" r:id="rId3"/>
    <sheet name="Returns" sheetId="4" r:id="rId4"/>
    <sheet name="Output" sheetId="5" r:id="rId5"/>
    <sheet name="Sensitivity" sheetId="6" r:id="rId6"/>
  </sheets>
  <definedNames>
    <definedName name="in_asset_type">'Assumptions'!$C$8</definedName>
    <definedName name="in_capex_total">'Assumptions'!$C$32</definedName>
    <definedName name="in_capex_y1">'Assumptions'!$C$33</definedName>
    <definedName name="in_capex_y2">'Assumptions'!$C$34</definedName>
    <definedName name="in_equity">'Assumptions'!$C$39</definedName>
    <definedName name="in_exit_cap">'Assumptions'!$C$37</definedName>
    <definedName name="in_hold_years">'Assumptions'!$C$10</definedName>
    <definedName name="in_loan">'Assumptions'!$C$26</definedName>
    <definedName name="in_loan_amort">'Assumptions'!$C$28</definedName>
    <definedName name="in_loan_io">'Assumptions'!$C$29</definedName>
    <definedName name="in_loan_rate">'Assumptions'!$C$27</definedName>
    <definedName name="in_name">'Assumptions'!$C$7</definedName>
    <definedName name="in_opex_growth">'Assumptions'!$C$22</definedName>
    <definedName name="in_opex_y0_per_unit">'Assumptions'!$C$21</definedName>
    <definedName name="in_rent_growth">'Assumptions'!$C$17</definedName>
    <definedName name="in_rent_y0">'Assumptions'!$C$15</definedName>
    <definedName name="in_rent_y3_target">'Assumptions'!$C$16</definedName>
    <definedName name="in_sale_costs">'Assumptions'!$C$38</definedName>
    <definedName name="in_scenario">'Assumptions'!$C$9</definedName>
    <definedName name="in_tpc">'Assumptions'!$C$12</definedName>
    <definedName name="in_unit_count">'Assumptions'!$C$11</definedName>
    <definedName name="in_vacancy_stab">'Assumptions'!$C$19</definedName>
    <definedName name="in_vacancy_y0">'Assumptions'!$C$18</definedName>
    <definedName name="_xlnm.Print_Area" localSheetId="4">Output!$A$1:$E$20</definedName>
  </definedNames>
  <calcPr calcId="124519" fullCalcOnLoad="1"/>
</workbook>
</file>

<file path=xl/sharedStrings.xml><?xml version="1.0" encoding="utf-8"?>
<sst xmlns="http://schemas.openxmlformats.org/spreadsheetml/2006/main" count="110" uniqueCount="105">
  <si>
    <t>Cash Flow Projection - Instructions</t>
  </si>
  <si>
    <t>Version 1.0 - 2026-05-21</t>
  </si>
  <si>
    <t>HOW TO USE</t>
  </si>
  <si>
    <t xml:space="preserve">  1. Choose a Scenario on the Assumptions tab (dropdown: Value-Add / Stabilized / Lease-Up / Construction / Refi-Sale).</t>
  </si>
  <si>
    <t xml:space="preserve">  2. Fill remaining blue input cells on Assumptions. Scenario auto-fills vacancy, capex, and IO period.</t>
  </si>
  <si>
    <t xml:space="preserve">  3. Annual Cash Flow tab projects 10 years. Returns tab computes IRR + multiple.</t>
  </si>
  <si>
    <t xml:space="preserve">  4. Sensitivity tab stresses base case against rent growth, exit cap, interest rate.</t>
  </si>
  <si>
    <t xml:space="preserve">  5. Output Summary tab prints to one letter page.</t>
  </si>
  <si>
    <t xml:space="preserve">     Key output cells are in brass bold on the Returns tab and the Output tab.</t>
  </si>
  <si>
    <t xml:space="preserve">     Color code: blue cells = inputs, brass bold = key outputs.</t>
  </si>
  <si>
    <t>Assumptions</t>
  </si>
  <si>
    <t>Central inputs. Edit here; downstream tabs flow.</t>
  </si>
  <si>
    <t>PROPERTY</t>
  </si>
  <si>
    <t>Property name</t>
  </si>
  <si>
    <t>Dallas Garden VA</t>
  </si>
  <si>
    <t>Asset type</t>
  </si>
  <si>
    <t>Multifamily (value-add)</t>
  </si>
  <si>
    <t>Scenario</t>
  </si>
  <si>
    <t>Value-Add</t>
  </si>
  <si>
    <t>Hold years</t>
  </si>
  <si>
    <t>Unit count</t>
  </si>
  <si>
    <t>Total project cost</t>
  </si>
  <si>
    <t>REVENUE</t>
  </si>
  <si>
    <t>Rent / unit / mo Y0 (in-place)</t>
  </si>
  <si>
    <t>Rent / unit / mo Y3 stabilized</t>
  </si>
  <si>
    <t>Rent growth Y4+</t>
  </si>
  <si>
    <t>Vacancy Y0 (scenario-driven)</t>
  </si>
  <si>
    <t>Vacancy stabilized</t>
  </si>
  <si>
    <t>EXPENSES</t>
  </si>
  <si>
    <t>OpEx / unit / yr Y0</t>
  </si>
  <si>
    <t>OpEx growth</t>
  </si>
  <si>
    <t>DEBT</t>
  </si>
  <si>
    <t>Loan amount</t>
  </si>
  <si>
    <t>Loan rate</t>
  </si>
  <si>
    <t>Amortization (months)</t>
  </si>
  <si>
    <t>IO period (months, scenario-driven)</t>
  </si>
  <si>
    <t>CAPEX (RENOVATION)</t>
  </si>
  <si>
    <t>Total capex / renovation budget</t>
  </si>
  <si>
    <t>Y1 capex spend</t>
  </si>
  <si>
    <t>Y2 capex spend</t>
  </si>
  <si>
    <t>EXIT</t>
  </si>
  <si>
    <t>Exit cap rate</t>
  </si>
  <si>
    <t>Sale costs %</t>
  </si>
  <si>
    <t>Equity invested</t>
  </si>
  <si>
    <t>Scenario note:</t>
  </si>
  <si>
    <t>The Scenario dropdown auto-sets vacancy Y0, IO period, and capex budget. Override individual cells to customize.</t>
  </si>
  <si>
    <t>Annual Cash Flow Projection</t>
  </si>
  <si>
    <t>Year-by-year DCF - Year 0 through Year 10.</t>
  </si>
  <si>
    <t>Line item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</si>
  <si>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</si>
  <si>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</si>
  <si>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</si>
  <si>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</si>
  <si>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</si>
  <si>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</si>
  <si>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</si>
  <si>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</si>
  <si>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</si>
  <si>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</si>
  <si>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</si>
  <si>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GPR (Gross Potential Rent)</t>
  </si>
  <si>
    <t>Less: vacancy + credit loss</t>
  </si>
  <si>
    <t>Effective Gross Income</t>
  </si>
  <si>
    <t>Operating expenses</t>
  </si>
  <si>
    <t>NOI</t>
  </si>
  <si>
    <t>Less: capex / renovation</t>
  </si>
  <si>
    <t>Cash flow before debt service (excl capex)</t>
  </si>
  <si>
    <t>Less: debt service</t>
  </si>
  <si>
    <t>Cash flow before tax (CFBT)</t>
  </si>
  <si>
    <t>Sale proceeds (exit year)</t>
  </si>
  <si>
    <t>Equity cash flow</t>
  </si>
  <si>
    <t>Returns</t>
  </si>
  <si>
    <t>IRR, equity multiple, cash-on-cash.</t>
  </si>
  <si>
    <t>INVESTOR RETURNS</t>
  </si>
  <si>
    <t>Equity invested (Y0)</t>
  </si>
  <si>
    <t>Total distributions (Y1-Y10)</t>
  </si>
  <si>
    <t>IRR</t>
  </si>
  <si>
    <t>Equity multiple</t>
  </si>
  <si>
    <t>Profit</t>
  </si>
  <si>
    <t>Stabilized YOC (Y3 NOI / TPC)</t>
  </si>
  <si>
    <t>Year 1 cash-on-cash</t>
  </si>
  <si>
    <t>Year 3 stabilized cash-on-cash</t>
  </si>
  <si>
    <t>Category</t>
  </si>
  <si>
    <t>Amount</t>
  </si>
  <si>
    <t>Equity Invested</t>
  </si>
  <si>
    <t>Total Distributions</t>
  </si>
  <si>
    <t>Net Profit</t>
  </si>
  <si>
    <t>Output Summary</t>
  </si>
  <si>
    <t>One-page result. Print landscape.</t>
  </si>
  <si>
    <t>PROJECT</t>
  </si>
  <si>
    <t>Project</t>
  </si>
  <si>
    <t>Hold period</t>
  </si>
  <si>
    <t>ECONOMICS</t>
  </si>
  <si>
    <t>Stabilized NOI (Y3)</t>
  </si>
  <si>
    <t>Gross exit value (pre-costs, Y5)</t>
  </si>
  <si>
    <t>RETURNS</t>
  </si>
  <si>
    <t>Y3 cash-on-cash</t>
  </si>
  <si>
    <t>Yield-on-cost</t>
  </si>
  <si>
    <t>Sensitivity Analysis</t>
  </si>
  <si>
    <t>IRR stress vs rent growth and exit cap rate.</t>
  </si>
  <si>
    <t>TABLE 1 - Exit cap x Rent growth -&gt; Unleveraged IRR estimate</t>
  </si>
  <si>
    <t>Exit cap \ Rent grw</t>
  </si>
  <si>
    <t>TABLE 2 - Exit cap x Hold period -&gt; Gross exit value</t>
  </si>
  <si>
    <t>Exit cap \ Hold yrs</t>
  </si>
  <si>
    <t>Note: To change step sizes, edit the header row/column values directly.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</si>
</sst>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_($* #,##0_);_($* (#,##0);_($* &quot;-&quot;_);_(@_)"/>
    <numFmt numFmtId="166" formatCode="0.0%"/>
    <numFmt numFmtId="167" formatCode="0.00&quot;x&quot;"/>
  </numFmts>
  <fonts count="15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b/>
      <sz val="11"/>
      <color rgb="FFFAF6EE"/>
      <name val="Calibri"/>
      <family val="2"/>
      <scheme val="minor"/>
    </font>
    <font>
      <sz val="10"/>
      <color rgb="FF3D4757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10"/>
      <color rgb="FF1F4E79"/>
      <name val="Calibri"/>
      <family val="2"/>
      <scheme val="minor"/>
    </font>
    <font>
      <sz val="10"/>
      <color rgb="FF16192A"/>
      <name val="Calibri"/>
      <family val="2"/>
      <scheme val="minor"/>
    </font>
    <font>
      <i/>
      <sz val="9"/>
      <color rgb="FF3D4757"/>
      <name val="Calibri"/>
      <family val="2"/>
      <scheme val="minor"/>
    </font>
    <font>
      <b/>
      <sz val="9"/>
      <color rgb="FFFAF6EE"/>
      <name val="Calibri"/>
      <family val="2"/>
      <scheme val="minor"/>
    </font>
    <font>
      <b/>
      <sz val="11"/>
      <color rgb="FFB89A5B"/>
      <name val="Calibri"/>
      <family val="2"/>
      <scheme val="minor"/>
    </font>
    <font>
      <b/>
      <sz val="9"/>
      <color rgb="FFB89A5B"/>
      <name val="Calibri"/>
      <family val="2"/>
      <scheme val="minor"/>
    </font>
    <font>
      <b/>
      <sz val="18"/>
      <color rgb="FF0B1A33"/>
      <name val="Cambria"/>
      <family val="2"/>
    </font>
    <font>
      <b/>
      <sz val="9"/>
      <color rgb="FF3D4757"/>
      <name val="Calibri"/>
      <family val="2"/>
      <scheme val="minor"/>
    </font>
    <font>
      <sz val="9"/>
      <color rgb="FF16192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5EFE0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center" indent="1"/>
    </xf>
    <xf numFmtId="0" fontId="4" fillId="0" borderId="1" xfId="0" applyFont="1" applyBorder="1"/>
    <xf numFmtId="0" fontId="5" fillId="0" borderId="1" xfId="0" applyFont="1" applyBorder="1"/>
    <xf numFmtId="0" fontId="6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6" fontId="13" fillId="4" borderId="1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right"/>
    </xf>
    <xf numFmtId="164" fontId="13" fillId="4" borderId="1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Annual NOI vs Cash Flow Before Tax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NOI</c:v>
          </c:tx>
          <c:spPr>
            <a:ln w="31750">
              <a:solidFill>
                <a:srgbClr val="0B1A33"/>
              </a:solidFill>
            </a:ln>
          </c:spPr>
          <c:marker>
            <c:symbol val="none"/>
          </c:marker>
          <c:cat>
            <c:strRef>
              <c:f>'Annual Cash Flow'!$C$5:$M$5</c:f>
              <c:strCache>
                <c:ptCount val="11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  <c:pt idx="4">
                  <c:v>Year 4</c:v>
                </c:pt>
                <c:pt idx="5">
                  <c:v>Year 5</c:v>
                </c:pt>
                <c:pt idx="6">
                  <c:v>Year 6</c:v>
                </c:pt>
                <c:pt idx="7">
                  <c:v>Year 7</c:v>
                </c:pt>
                <c:pt idx="8">
                  <c:v>Year 8</c:v>
                </c:pt>
                <c:pt idx="9">
                  <c:v>Year 9</c:v>
                </c:pt>
                <c:pt idx="10">
                  <c:v>Year 10</c:v>
                </c:pt>
              </c:strCache>
            </c:strRef>
          </c:cat>
          <c:val>
            <c:numRef>
              <c:f>'Annual Cash Flow'!$C$13:$M$13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Cash Flow Before Tax</c:v>
          </c:tx>
          <c:spPr>
            <a:ln w="31750">
              <a:solidFill>
                <a:srgbClr val="B89A5B"/>
              </a:solidFill>
            </a:ln>
          </c:spPr>
          <c:marker>
            <c:symbol val="none"/>
          </c:marker>
          <c:cat>
            <c:strRef>
              <c:f>'Annual Cash Flow'!$C$5:$M$5</c:f>
              <c:strCache>
                <c:ptCount val="11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  <c:pt idx="4">
                  <c:v>Year 4</c:v>
                </c:pt>
                <c:pt idx="5">
                  <c:v>Year 5</c:v>
                </c:pt>
                <c:pt idx="6">
                  <c:v>Year 6</c:v>
                </c:pt>
                <c:pt idx="7">
                  <c:v>Year 7</c:v>
                </c:pt>
                <c:pt idx="8">
                  <c:v>Year 8</c:v>
                </c:pt>
                <c:pt idx="9">
                  <c:v>Year 9</c:v>
                </c:pt>
                <c:pt idx="10">
                  <c:v>Year 10</c:v>
                </c:pt>
              </c:strCache>
            </c:strRef>
          </c:cat>
          <c:val>
            <c:numRef>
              <c:f>'Annual Cash Flow'!$C$21:$M$21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Year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$ (USD)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/>
      <c:txPr>
        <a:bodyPr/>
        <a:lstStyle/>
        <a:p>
          <a:pPr>
            <a:defRPr sz="900" baseline="0">
              <a:latin typeface="Calibri"/>
            </a:defRPr>
          </a:pPr>
          <a:endParaRPr lang="en-US"/>
        </a:p>
      </c:txPr>
    </c:legend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Equity Invested vs Distributions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Capital</c:v>
          </c:tx>
          <c:dPt>
            <c:idx val="0"/>
            <c:spPr>
              <a:solidFill>
                <a:srgbClr val="6E1E2F"/>
              </a:solidFill>
            </c:spPr>
          </c:dPt>
          <c:dPt>
            <c:idx val="1"/>
            <c:spPr>
              <a:solidFill>
                <a:srgbClr val="0B1A33"/>
              </a:solidFill>
            </c:spPr>
          </c:dPt>
          <c:dPt>
            <c:idx val="2"/>
            <c:spPr>
              <a:solidFill>
                <a:srgbClr val="B89A5B"/>
              </a:solidFill>
            </c:spPr>
          </c:dPt>
          <c:cat>
            <c:strRef>
              <c:f>'Returns'!$E$6:$E$8</c:f>
              <c:strCache>
                <c:ptCount val="3"/>
                <c:pt idx="0">
                  <c:v>Equity Invested</c:v>
                </c:pt>
                <c:pt idx="1">
                  <c:v>Total Distributions</c:v>
                </c:pt>
                <c:pt idx="2">
                  <c:v>Net Profit</c:v>
                </c:pt>
              </c:strCache>
            </c:strRef>
          </c:cat>
          <c:val>
            <c:numRef>
              <c:f>'Returns'!$F$6:$F$8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latin typeface="Calibri"/>
                  </a:defRPr>
                </a:pPr>
                <a:r>
                  <a:rPr lang="en-US" sz="900" baseline="0">
                    <a:latin typeface="Calibri"/>
                  </a:rPr>
                  <a:t>$ (USD)</a:t>
                </a:r>
              </a:p>
            </c:rich>
          </c:tx>
          <c:layout/>
        </c:title>
        <c:numFmt formatCode="$#,##0" sourceLinked="0"/>
        <c:tickLblPos val="nextTo"/>
        <c:crossAx val="50020001"/>
        <c:crosses val="autoZero"/>
        <c:crossBetween val="between"/>
      </c:valAx>
      <c:spPr>
        <a:solidFill>
          <a:srgbClr val="FFFFFF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4</xdr:col>
      <xdr:colOff>828675</xdr:colOff>
      <xdr:row>41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2</xdr:col>
      <xdr:colOff>866775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C13"/>
  <sheetViews>
    <sheetView showGridLines="0" tabSelected="1" workbookViewId="0"/>
  </sheetViews>
  <sheetFormatPr defaultRowHeight="15"/>
  <cols>
    <col min="1" max="1" width="2.7109375" customWidth="1"/>
    <col min="2" max="2" width="28.7109375" customWidth="1"/>
    <col min="3" max="3" width="80.7109375" customWidth="1"/>
  </cols>
  <sheetData>
    <row r="2" spans="2:3">
      <c r="B2" s="1" t="s">
        <v>0</v>
      </c>
    </row>
    <row r="3" spans="2:3">
      <c r="B3" s="2" t="s">
        <v>1</v>
      </c>
    </row>
    <row r="5" spans="2:3">
      <c r="B5" s="3" t="s">
        <v>2</v>
      </c>
      <c r="C5" s="3"/>
    </row>
    <row r="7" spans="2:3">
      <c r="B7" s="4" t="s">
        <v>3</v>
      </c>
      <c r="C7" s="4"/>
    </row>
    <row r="8" spans="2:3">
      <c r="B8" s="4" t="s">
        <v>4</v>
      </c>
      <c r="C8" s="4"/>
    </row>
    <row r="9" spans="2:3">
      <c r="B9" s="4" t="s">
        <v>5</v>
      </c>
      <c r="C9" s="4"/>
    </row>
    <row r="10" spans="2:3">
      <c r="B10" s="4" t="s">
        <v>6</v>
      </c>
      <c r="C10" s="4"/>
    </row>
    <row r="11" spans="2:3">
      <c r="B11" s="4" t="s">
        <v>7</v>
      </c>
      <c r="C11" s="4"/>
    </row>
    <row r="12" spans="2:3">
      <c r="B12" s="4" t="s">
        <v>8</v>
      </c>
      <c r="C12" s="4"/>
    </row>
    <row r="13" spans="2:3">
      <c r="B13" s="4" t="s">
        <v>9</v>
      </c>
      <c r="C13" s="4"/>
    </row>
  </sheetData>
  <mergeCells count="8">
    <mergeCell ref="B5:C5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41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18.7109375" customWidth="1"/>
  </cols>
  <sheetData>
    <row r="2" spans="2:3">
      <c r="B2" s="1" t="s">
        <v>10</v>
      </c>
      <c r="C2" s="1"/>
    </row>
    <row r="3" spans="2:3">
      <c r="B3" s="2" t="s">
        <v>11</v>
      </c>
      <c r="C3" s="2"/>
    </row>
    <row r="5" spans="2:3">
      <c r="B5" s="3" t="s">
        <v>12</v>
      </c>
      <c r="C5" s="3"/>
    </row>
    <row r="7" spans="2:3">
      <c r="B7" s="5" t="s">
        <v>13</v>
      </c>
      <c r="C7" s="6" t="s">
        <v>14</v>
      </c>
    </row>
    <row r="8" spans="2:3">
      <c r="B8" s="5" t="s">
        <v>15</v>
      </c>
      <c r="C8" s="6" t="s">
        <v>16</v>
      </c>
    </row>
    <row r="9" spans="2:3">
      <c r="B9" s="5" t="s">
        <v>17</v>
      </c>
      <c r="C9" s="6" t="s">
        <v>18</v>
      </c>
    </row>
    <row r="10" spans="2:3">
      <c r="B10" s="5" t="s">
        <v>19</v>
      </c>
      <c r="C10" s="7">
        <v>5</v>
      </c>
    </row>
    <row r="11" spans="2:3">
      <c r="B11" s="5" t="s">
        <v>20</v>
      </c>
      <c r="C11" s="7">
        <v>200</v>
      </c>
    </row>
    <row r="12" spans="2:3">
      <c r="B12" s="5" t="s">
        <v>21</v>
      </c>
      <c r="C12" s="8">
        <v>36000000</v>
      </c>
    </row>
    <row r="13" spans="2:3">
      <c r="B13" s="3" t="s">
        <v>22</v>
      </c>
      <c r="C13" s="3"/>
    </row>
    <row r="15" spans="2:3">
      <c r="B15" s="5" t="s">
        <v>23</v>
      </c>
      <c r="C15" s="8">
        <v>1450</v>
      </c>
    </row>
    <row r="16" spans="2:3">
      <c r="B16" s="5" t="s">
        <v>24</v>
      </c>
      <c r="C16" s="8">
        <v>1650</v>
      </c>
    </row>
    <row r="17" spans="2:3">
      <c r="B17" s="5" t="s">
        <v>25</v>
      </c>
      <c r="C17" s="9">
        <v>0.03</v>
      </c>
    </row>
    <row r="18" spans="2:3">
      <c r="B18" s="5" t="s">
        <v>26</v>
      </c>
      <c r="C18" s="10">
        <f>IF(in_scenario="Value-Add",0.10,IF(in_scenario="Stabilized",0.05,IF(in_scenario="Lease-Up",0.15,IF(in_scenario="Construction",0.20,IF(in_scenario="Refi-Sale",0.05,0.08)))))</f>
        <v>0</v>
      </c>
    </row>
    <row r="19" spans="2:3">
      <c r="B19" s="5" t="s">
        <v>27</v>
      </c>
      <c r="C19" s="9">
        <v>0.06</v>
      </c>
    </row>
    <row r="20" spans="2:3">
      <c r="B20" s="3" t="s">
        <v>28</v>
      </c>
      <c r="C20" s="3"/>
    </row>
    <row r="21" spans="2:3">
      <c r="B21" s="5" t="s">
        <v>29</v>
      </c>
      <c r="C21" s="8">
        <v>4900</v>
      </c>
    </row>
    <row r="22" spans="2:3">
      <c r="B22" s="5" t="s">
        <v>30</v>
      </c>
      <c r="C22" s="9">
        <v>0.03</v>
      </c>
    </row>
    <row r="24" spans="2:3">
      <c r="B24" s="3" t="s">
        <v>31</v>
      </c>
      <c r="C24" s="3"/>
    </row>
    <row r="26" spans="2:3">
      <c r="B26" s="5" t="s">
        <v>32</v>
      </c>
      <c r="C26" s="8">
        <v>26500000</v>
      </c>
    </row>
    <row r="27" spans="2:3">
      <c r="B27" s="5" t="s">
        <v>33</v>
      </c>
      <c r="C27" s="9">
        <v>0.0775</v>
      </c>
    </row>
    <row r="28" spans="2:3">
      <c r="B28" s="5" t="s">
        <v>34</v>
      </c>
      <c r="C28" s="7">
        <v>360</v>
      </c>
    </row>
    <row r="29" spans="2:3">
      <c r="B29" s="5" t="s">
        <v>35</v>
      </c>
      <c r="C29" s="10">
        <f>IF(in_scenario="Value-Add",24,IF(in_scenario="Stabilized",0,IF(in_scenario="Lease-Up",12,IF(in_scenario="Construction",36,IF(in_scenario="Refi-Sale",0,0)))))</f>
        <v>0</v>
      </c>
    </row>
    <row r="30" spans="2:3">
      <c r="B30" s="3" t="s">
        <v>36</v>
      </c>
      <c r="C30" s="3"/>
    </row>
    <row r="32" spans="2:3">
      <c r="B32" s="5" t="s">
        <v>37</v>
      </c>
      <c r="C32" s="11">
        <f>IF(in_scenario="Value-Add",in_tpc*0.133,IF(in_scenario="Stabilized",0,IF(in_scenario="Lease-Up",in_tpc*0.02,IF(in_scenario="Construction",in_tpc*0.30,IF(in_scenario="Refi-Sale",in_tpc*0.01,0)))))</f>
        <v>0</v>
      </c>
    </row>
    <row r="33" spans="2:3">
      <c r="B33" s="5" t="s">
        <v>38</v>
      </c>
      <c r="C33" s="8">
        <v>2900000</v>
      </c>
    </row>
    <row r="34" spans="2:3">
      <c r="B34" s="5" t="s">
        <v>39</v>
      </c>
      <c r="C34" s="8">
        <v>1900000</v>
      </c>
    </row>
    <row r="35" spans="2:3">
      <c r="B35" s="3" t="s">
        <v>40</v>
      </c>
      <c r="C35" s="3"/>
    </row>
    <row r="37" spans="2:3">
      <c r="B37" s="5" t="s">
        <v>41</v>
      </c>
      <c r="C37" s="9">
        <v>0.0575</v>
      </c>
    </row>
    <row r="38" spans="2:3">
      <c r="B38" s="5" t="s">
        <v>42</v>
      </c>
      <c r="C38" s="9">
        <v>0.02</v>
      </c>
    </row>
    <row r="39" spans="2:3">
      <c r="B39" s="5" t="s">
        <v>43</v>
      </c>
      <c r="C39" s="8">
        <v>9500000</v>
      </c>
    </row>
    <row r="40" spans="2:3">
      <c r="B40" s="5" t="s">
        <v>44</v>
      </c>
    </row>
    <row r="41" spans="2:3">
      <c r="B41" s="12" t="s">
        <v>45</v>
      </c>
      <c r="C41" s="12"/>
    </row>
  </sheetData>
  <mergeCells count="9">
    <mergeCell ref="B2:C2"/>
    <mergeCell ref="B3:C3"/>
    <mergeCell ref="B5:C5"/>
    <mergeCell ref="B13:C13"/>
    <mergeCell ref="B20:C20"/>
    <mergeCell ref="B24:C24"/>
    <mergeCell ref="B30:C30"/>
    <mergeCell ref="B35:C35"/>
    <mergeCell ref="B41:C41"/>
  </mergeCells>
  <dataValidations count="1">
    <dataValidation type="list" allowBlank="1" showInputMessage="1" showErrorMessage="1" sqref="C9">
      <formula1>"Value-Add,Stabilized,Lease-Up,Construction,Refi-Sale"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M25"/>
  <sheetViews>
    <sheetView showGridLines="0" workbookViewId="0"/>
  </sheetViews>
  <sheetFormatPr defaultRowHeight="15"/>
  <cols>
    <col min="1" max="1" width="2.7109375" customWidth="1"/>
    <col min="2" max="2" width="30.7109375" customWidth="1"/>
    <col min="3" max="12" width="12.7109375" customWidth="1"/>
  </cols>
  <sheetData>
    <row r="2" spans="2:13">
      <c r="B2" s="1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3">
      <c r="B3" s="2" t="s">
        <v>47</v>
      </c>
      <c r="C3" s="2"/>
      <c r="D3" s="2"/>
      <c r="E3" s="2"/>
      <c r="F3" s="2"/>
      <c r="G3" s="2"/>
      <c r="H3" s="2"/>
      <c r="I3" s="2"/>
      <c r="J3" s="2"/>
      <c r="K3" s="2"/>
      <c r="L3" s="2"/>
    </row>
    <row r="5" spans="2:13">
      <c r="B5" s="13" t="s">
        <v>48</v>
      </c>
      <c r="C5" s="13" t="s">
        <v>49</v>
      </c>
      <c r="D5" s="13" t="s">
        <v>50</v>
      </c>
      <c r="E5" s="13" t="s">
        <v>51</v>
      </c>
      <c r="F5" s="13" t="s">
        <v>52</v>
      </c>
      <c r="G5" s="13" t="s">
        <v>53</v>
      </c>
      <c r="H5" s="13" t="s">
        <v>54</v>
      </c>
      <c r="I5" s="13" t="s">
        <v>55</v>
      </c>
      <c r="J5" s="13" t="s">
        <v>56</v>
      </c>
      <c r="K5" s="13" t="s">
        <v>57</v>
      </c>
      <c r="L5" s="13" t="s">
        <v>58</v>
      </c>
      <c r="M5" s="13" t="s">
        <v>59</v>
      </c>
    </row>
    <row r="7" spans="2:13">
      <c r="B7" s="5" t="s">
        <v>60</v>
      </c>
      <c r="C7" s="11">
        <f>in_unit_count * (in_rent_y0 + (in_rent_y3_target - in_rent_y0) * 0 / 3) * 12</f>
        <v>0</v>
      </c>
      <c r="D7" s="11">
        <f>in_unit_count * (in_rent_y0 + (in_rent_y3_target - in_rent_y0) * 1 / 3) * 12</f>
        <v>0</v>
      </c>
      <c r="E7" s="11">
        <f>in_unit_count * (in_rent_y0 + (in_rent_y3_target - in_rent_y0) * 2 / 3) * 12</f>
        <v>0</v>
      </c>
      <c r="F7" s="11">
        <f>in_unit_count * in_rent_y3_target * (1 + in_rent_growth)^(3 - 3) * 12</f>
        <v>0</v>
      </c>
      <c r="G7" s="11">
        <f>in_unit_count * in_rent_y3_target * (1 + in_rent_growth)^(4 - 3) * 12</f>
        <v>0</v>
      </c>
      <c r="H7" s="11">
        <f>in_unit_count * in_rent_y3_target * (1 + in_rent_growth)^(5 - 3) * 12</f>
        <v>0</v>
      </c>
      <c r="I7" s="11">
        <f>in_unit_count * in_rent_y3_target * (1 + in_rent_growth)^(6 - 3) * 12</f>
        <v>0</v>
      </c>
      <c r="J7" s="11">
        <f>in_unit_count * in_rent_y3_target * (1 + in_rent_growth)^(7 - 3) * 12</f>
        <v>0</v>
      </c>
      <c r="K7" s="11">
        <f>in_unit_count * in_rent_y3_target * (1 + in_rent_growth)^(8 - 3) * 12</f>
        <v>0</v>
      </c>
      <c r="L7" s="11">
        <f>in_unit_count * in_rent_y3_target * (1 + in_rent_growth)^(9 - 3) * 12</f>
        <v>0</v>
      </c>
      <c r="M7" s="11">
        <f>in_unit_count * in_rent_y3_target * (1 + in_rent_growth)^(10 - 3) * 12</f>
        <v>0</v>
      </c>
    </row>
    <row r="8" spans="2:13">
      <c r="B8" s="5" t="s">
        <v>61</v>
      </c>
      <c r="C8" s="11">
        <f>-C7 * (in_vacancy_y0 + 0.02)</f>
        <v>0</v>
      </c>
      <c r="D8" s="11">
        <f>-D7 * (in_vacancy_y0 + 0.02)</f>
        <v>0</v>
      </c>
      <c r="E8" s="11">
        <f>-E7 * (in_vacancy_y0 + 0.02)</f>
        <v>0</v>
      </c>
      <c r="F8" s="11">
        <f>-F7 * (in_vacancy_stab + 0.02)</f>
        <v>0</v>
      </c>
      <c r="G8" s="11">
        <f>-G7 * (in_vacancy_stab + 0.02)</f>
        <v>0</v>
      </c>
      <c r="H8" s="11">
        <f>-H7 * (in_vacancy_stab + 0.02)</f>
        <v>0</v>
      </c>
      <c r="I8" s="11">
        <f>-I7 * (in_vacancy_stab + 0.02)</f>
        <v>0</v>
      </c>
      <c r="J8" s="11">
        <f>-J7 * (in_vacancy_stab + 0.02)</f>
        <v>0</v>
      </c>
      <c r="K8" s="11">
        <f>-K7 * (in_vacancy_stab + 0.02)</f>
        <v>0</v>
      </c>
      <c r="L8" s="11">
        <f>-L7 * (in_vacancy_stab + 0.02)</f>
        <v>0</v>
      </c>
      <c r="M8" s="11">
        <f>-M7 * (in_vacancy_stab + 0.02)</f>
        <v>0</v>
      </c>
    </row>
    <row r="9" spans="2:13">
      <c r="B9" s="5" t="s">
        <v>62</v>
      </c>
      <c r="C9" s="14">
        <f>SUM(C7:C8)</f>
        <v>0</v>
      </c>
      <c r="D9" s="14">
        <f>SUM(D7:D8)</f>
        <v>0</v>
      </c>
      <c r="E9" s="14">
        <f>SUM(E7:E8)</f>
        <v>0</v>
      </c>
      <c r="F9" s="14">
        <f>SUM(F7:F8)</f>
        <v>0</v>
      </c>
      <c r="G9" s="14">
        <f>SUM(G7:G8)</f>
        <v>0</v>
      </c>
      <c r="H9" s="14">
        <f>SUM(H7:H8)</f>
        <v>0</v>
      </c>
      <c r="I9" s="14">
        <f>SUM(I7:I8)</f>
        <v>0</v>
      </c>
      <c r="J9" s="14">
        <f>SUM(J7:J8)</f>
        <v>0</v>
      </c>
      <c r="K9" s="14">
        <f>SUM(K7:K8)</f>
        <v>0</v>
      </c>
      <c r="L9" s="14">
        <f>SUM(L7:L8)</f>
        <v>0</v>
      </c>
      <c r="M9" s="14">
        <f>SUM(M7:M8)</f>
        <v>0</v>
      </c>
    </row>
    <row r="11" spans="2:13">
      <c r="B11" s="5" t="s">
        <v>63</v>
      </c>
      <c r="C11" s="11">
        <f>-in_unit_count * in_opex_y0_per_unit * (1 + in_opex_growth)^0</f>
        <v>0</v>
      </c>
      <c r="D11" s="11">
        <f>-in_unit_count * in_opex_y0_per_unit * (1 + in_opex_growth)^1</f>
        <v>0</v>
      </c>
      <c r="E11" s="11">
        <f>-in_unit_count * in_opex_y0_per_unit * (1 + in_opex_growth)^2</f>
        <v>0</v>
      </c>
      <c r="F11" s="11">
        <f>-in_unit_count * in_opex_y0_per_unit * (1 + in_opex_growth)^3</f>
        <v>0</v>
      </c>
      <c r="G11" s="11">
        <f>-in_unit_count * in_opex_y0_per_unit * (1 + in_opex_growth)^4</f>
        <v>0</v>
      </c>
      <c r="H11" s="11">
        <f>-in_unit_count * in_opex_y0_per_unit * (1 + in_opex_growth)^5</f>
        <v>0</v>
      </c>
      <c r="I11" s="11">
        <f>-in_unit_count * in_opex_y0_per_unit * (1 + in_opex_growth)^6</f>
        <v>0</v>
      </c>
      <c r="J11" s="11">
        <f>-in_unit_count * in_opex_y0_per_unit * (1 + in_opex_growth)^7</f>
        <v>0</v>
      </c>
      <c r="K11" s="11">
        <f>-in_unit_count * in_opex_y0_per_unit * (1 + in_opex_growth)^8</f>
        <v>0</v>
      </c>
      <c r="L11" s="11">
        <f>-in_unit_count * in_opex_y0_per_unit * (1 + in_opex_growth)^9</f>
        <v>0</v>
      </c>
      <c r="M11" s="11">
        <f>-in_unit_count * in_opex_y0_per_unit * (1 + in_opex_growth)^10</f>
        <v>0</v>
      </c>
    </row>
    <row r="13" spans="2:13">
      <c r="B13" s="5" t="s">
        <v>64</v>
      </c>
      <c r="C13" s="14">
        <f>C9+C11</f>
        <v>0</v>
      </c>
      <c r="D13" s="14">
        <f>D9+D11</f>
        <v>0</v>
      </c>
      <c r="E13" s="14">
        <f>E9+E11</f>
        <v>0</v>
      </c>
      <c r="F13" s="14">
        <f>F9+F11</f>
        <v>0</v>
      </c>
      <c r="G13" s="14">
        <f>G9+G11</f>
        <v>0</v>
      </c>
      <c r="H13" s="14">
        <f>H9+H11</f>
        <v>0</v>
      </c>
      <c r="I13" s="14">
        <f>I9+I11</f>
        <v>0</v>
      </c>
      <c r="J13" s="14">
        <f>J9+J11</f>
        <v>0</v>
      </c>
      <c r="K13" s="14">
        <f>K9+K11</f>
        <v>0</v>
      </c>
      <c r="L13" s="14">
        <f>L9+L11</f>
        <v>0</v>
      </c>
      <c r="M13" s="14">
        <f>M9+M11</f>
        <v>0</v>
      </c>
    </row>
    <row r="15" spans="2:13">
      <c r="B15" s="5" t="s">
        <v>65</v>
      </c>
      <c r="C15" s="11">
        <f>0</f>
        <v>0</v>
      </c>
      <c r="D15" s="11">
        <f>-in_capex_y1</f>
        <v>0</v>
      </c>
      <c r="E15" s="11">
        <f>-in_capex_y2</f>
        <v>0</v>
      </c>
      <c r="F15" s="11">
        <f>0</f>
        <v>0</v>
      </c>
      <c r="G15" s="11">
        <f>0</f>
        <v>0</v>
      </c>
      <c r="H15" s="11">
        <f>0</f>
        <v>0</v>
      </c>
      <c r="I15" s="11">
        <f>0</f>
        <v>0</v>
      </c>
      <c r="J15" s="11">
        <f>0</f>
        <v>0</v>
      </c>
      <c r="K15" s="11">
        <f>0</f>
        <v>0</v>
      </c>
      <c r="L15" s="11">
        <f>0</f>
        <v>0</v>
      </c>
      <c r="M15" s="11">
        <f>0</f>
        <v>0</v>
      </c>
    </row>
    <row r="17" spans="2:13">
      <c r="B17" s="5" t="s">
        <v>66</v>
      </c>
      <c r="C17" s="14">
        <f>C13</f>
        <v>0</v>
      </c>
      <c r="D17" s="14">
        <f>D13</f>
        <v>0</v>
      </c>
      <c r="E17" s="14">
        <f>E13</f>
        <v>0</v>
      </c>
      <c r="F17" s="14">
        <f>F13</f>
        <v>0</v>
      </c>
      <c r="G17" s="14">
        <f>G13</f>
        <v>0</v>
      </c>
      <c r="H17" s="14">
        <f>H13</f>
        <v>0</v>
      </c>
      <c r="I17" s="14">
        <f>I13</f>
        <v>0</v>
      </c>
      <c r="J17" s="14">
        <f>J13</f>
        <v>0</v>
      </c>
      <c r="K17" s="14">
        <f>K13</f>
        <v>0</v>
      </c>
      <c r="L17" s="14">
        <f>L13</f>
        <v>0</v>
      </c>
      <c r="M17" s="14">
        <f>M13</f>
        <v>0</v>
      </c>
    </row>
    <row r="19" spans="2:13">
      <c r="B19" s="5" t="s">
        <v>67</v>
      </c>
      <c r="C19" s="11">
        <f>0</f>
        <v>0</v>
      </c>
      <c r="D19" s="11">
        <f>IF(1&lt;=INT(in_loan_io/12),-in_loan*in_loan_rate,PMT(in_loan_rate/12, in_loan_amort, in_loan)*12)</f>
        <v>0</v>
      </c>
      <c r="E19" s="11">
        <f>IF(2&lt;=INT(in_loan_io/12),-in_loan*in_loan_rate,PMT(in_loan_rate/12, in_loan_amort, in_loan)*12)</f>
        <v>0</v>
      </c>
      <c r="F19" s="11">
        <f>IF(3&lt;=INT(in_loan_io/12),-in_loan*in_loan_rate,PMT(in_loan_rate/12, in_loan_amort, in_loan)*12)</f>
        <v>0</v>
      </c>
      <c r="G19" s="11">
        <f>IF(4&lt;=INT(in_loan_io/12),-in_loan*in_loan_rate,PMT(in_loan_rate/12, in_loan_amort, in_loan)*12)</f>
        <v>0</v>
      </c>
      <c r="H19" s="11">
        <f>IF(5&lt;=INT(in_loan_io/12),-in_loan*in_loan_rate,PMT(in_loan_rate/12, in_loan_amort, in_loan)*12)</f>
        <v>0</v>
      </c>
      <c r="I19" s="11">
        <f>IF(6&lt;=INT(in_loan_io/12),-in_loan*in_loan_rate,PMT(in_loan_rate/12, in_loan_amort, in_loan)*12)</f>
        <v>0</v>
      </c>
      <c r="J19" s="11">
        <f>IF(7&lt;=INT(in_loan_io/12),-in_loan*in_loan_rate,PMT(in_loan_rate/12, in_loan_amort, in_loan)*12)</f>
        <v>0</v>
      </c>
      <c r="K19" s="11">
        <f>IF(8&lt;=INT(in_loan_io/12),-in_loan*in_loan_rate,PMT(in_loan_rate/12, in_loan_amort, in_loan)*12)</f>
        <v>0</v>
      </c>
      <c r="L19" s="11">
        <f>IF(9&lt;=INT(in_loan_io/12),-in_loan*in_loan_rate,PMT(in_loan_rate/12, in_loan_amort, in_loan)*12)</f>
        <v>0</v>
      </c>
      <c r="M19" s="11">
        <f>IF(10&lt;=INT(in_loan_io/12),-in_loan*in_loan_rate,PMT(in_loan_rate/12, in_loan_amort, in_loan)*12)</f>
        <v>0</v>
      </c>
    </row>
    <row r="21" spans="2:13">
      <c r="B21" s="5" t="s">
        <v>68</v>
      </c>
      <c r="C21" s="14">
        <f>C17+C19</f>
        <v>0</v>
      </c>
      <c r="D21" s="14">
        <f>D17+D19</f>
        <v>0</v>
      </c>
      <c r="E21" s="14">
        <f>E17+E19</f>
        <v>0</v>
      </c>
      <c r="F21" s="14">
        <f>F17+F19</f>
        <v>0</v>
      </c>
      <c r="G21" s="14">
        <f>G17+G19</f>
        <v>0</v>
      </c>
      <c r="H21" s="14">
        <f>H17+H19</f>
        <v>0</v>
      </c>
      <c r="I21" s="14">
        <f>I17+I19</f>
        <v>0</v>
      </c>
      <c r="J21" s="14">
        <f>J17+J19</f>
        <v>0</v>
      </c>
      <c r="K21" s="14">
        <f>K17+K19</f>
        <v>0</v>
      </c>
      <c r="L21" s="14">
        <f>L17+L19</f>
        <v>0</v>
      </c>
      <c r="M21" s="14">
        <f>M17+M19</f>
        <v>0</v>
      </c>
    </row>
    <row r="23" spans="2:13">
      <c r="B23" s="5" t="s">
        <v>69</v>
      </c>
      <c r="C23" s="11">
        <f>IF(0=in_hold_years, (C13 / in_exit_cap) * (1 - in_sale_costs) - in_loan, 0)</f>
        <v>0</v>
      </c>
      <c r="D23" s="11">
        <f>IF(1=in_hold_years, (D13 / in_exit_cap) * (1 - in_sale_costs) - in_loan, 0)</f>
        <v>0</v>
      </c>
      <c r="E23" s="11">
        <f>IF(2=in_hold_years, (E13 / in_exit_cap) * (1 - in_sale_costs) - in_loan, 0)</f>
        <v>0</v>
      </c>
      <c r="F23" s="11">
        <f>IF(3=in_hold_years, (F13 / in_exit_cap) * (1 - in_sale_costs) - in_loan, 0)</f>
        <v>0</v>
      </c>
      <c r="G23" s="11">
        <f>IF(4=in_hold_years, (G13 / in_exit_cap) * (1 - in_sale_costs) - in_loan, 0)</f>
        <v>0</v>
      </c>
      <c r="H23" s="11">
        <f>IF(5=in_hold_years, (H13 / in_exit_cap) * (1 - in_sale_costs) - in_loan, 0)</f>
        <v>0</v>
      </c>
      <c r="I23" s="11">
        <f>IF(6=in_hold_years, (I13 / in_exit_cap) * (1 - in_sale_costs) - in_loan, 0)</f>
        <v>0</v>
      </c>
      <c r="J23" s="11">
        <f>IF(7=in_hold_years, (J13 / in_exit_cap) * (1 - in_sale_costs) - in_loan, 0)</f>
        <v>0</v>
      </c>
      <c r="K23" s="11">
        <f>IF(8=in_hold_years, (K13 / in_exit_cap) * (1 - in_sale_costs) - in_loan, 0)</f>
        <v>0</v>
      </c>
      <c r="L23" s="11">
        <f>IF(9=in_hold_years, (L13 / in_exit_cap) * (1 - in_sale_costs) - in_loan, 0)</f>
        <v>0</v>
      </c>
      <c r="M23" s="11">
        <f>IF(10=in_hold_years, (M13 / in_exit_cap) * (1 - in_sale_costs) - in_loan, 0)</f>
        <v>0</v>
      </c>
    </row>
    <row r="25" spans="2:13">
      <c r="B25" s="5" t="s">
        <v>70</v>
      </c>
      <c r="C25" s="14">
        <f>-in_equity</f>
        <v>0</v>
      </c>
      <c r="D25" s="14">
        <f>IF(1&gt;in_hold_years, 0, D21+D23)</f>
        <v>0</v>
      </c>
      <c r="E25" s="14">
        <f>IF(2&gt;in_hold_years, 0, E21+E23)</f>
        <v>0</v>
      </c>
      <c r="F25" s="14">
        <f>IF(3&gt;in_hold_years, 0, F21+F23)</f>
        <v>0</v>
      </c>
      <c r="G25" s="14">
        <f>IF(4&gt;in_hold_years, 0, G21+G23)</f>
        <v>0</v>
      </c>
      <c r="H25" s="14">
        <f>IF(5&gt;in_hold_years, 0, H21+H23)</f>
        <v>0</v>
      </c>
      <c r="I25" s="14">
        <f>IF(6&gt;in_hold_years, 0, I21+I23)</f>
        <v>0</v>
      </c>
      <c r="J25" s="14">
        <f>IF(7&gt;in_hold_years, 0, J21+J23)</f>
        <v>0</v>
      </c>
      <c r="K25" s="14">
        <f>IF(8&gt;in_hold_years, 0, K21+K23)</f>
        <v>0</v>
      </c>
      <c r="L25" s="14">
        <f>IF(9&gt;in_hold_years, 0, L21+L23)</f>
        <v>0</v>
      </c>
      <c r="M25" s="14">
        <f>IF(10&gt;in_hold_years, 0, M21+M23)</f>
        <v>0</v>
      </c>
    </row>
  </sheetData>
  <mergeCells count="2">
    <mergeCell ref="B2:L2"/>
    <mergeCell ref="B3:L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F13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2.7109375" customWidth="1"/>
  </cols>
  <sheetData>
    <row r="2" spans="2:6">
      <c r="B2" s="1" t="s">
        <v>71</v>
      </c>
      <c r="C2" s="1"/>
    </row>
    <row r="3" spans="2:6">
      <c r="B3" s="2" t="s">
        <v>72</v>
      </c>
      <c r="C3" s="2"/>
    </row>
    <row r="5" spans="2:6">
      <c r="B5" s="3" t="s">
        <v>73</v>
      </c>
      <c r="C5" s="3"/>
      <c r="E5" s="13" t="s">
        <v>82</v>
      </c>
      <c r="F5" s="13" t="s">
        <v>83</v>
      </c>
    </row>
    <row r="6" spans="2:6">
      <c r="B6" s="5" t="s">
        <v>74</v>
      </c>
      <c r="C6" s="15">
        <f>in_equity</f>
        <v>0</v>
      </c>
      <c r="E6" s="5" t="s">
        <v>84</v>
      </c>
      <c r="F6" s="11">
        <f>in_equity</f>
        <v>0</v>
      </c>
    </row>
    <row r="7" spans="2:6">
      <c r="B7" s="5" t="s">
        <v>75</v>
      </c>
      <c r="C7" s="15">
        <f>SUM('Annual Cash Flow'!D25:M25)</f>
        <v>0</v>
      </c>
      <c r="E7" s="5" t="s">
        <v>85</v>
      </c>
      <c r="F7" s="11">
        <f>C7</f>
        <v>0</v>
      </c>
    </row>
    <row r="8" spans="2:6">
      <c r="B8" s="5" t="s">
        <v>76</v>
      </c>
      <c r="C8" s="16">
        <f>IRR('Annual Cash Flow'!C25:M25)</f>
        <v>0</v>
      </c>
      <c r="E8" s="5" t="s">
        <v>86</v>
      </c>
      <c r="F8" s="11">
        <f>C10</f>
        <v>0</v>
      </c>
    </row>
    <row r="9" spans="2:6">
      <c r="B9" s="5" t="s">
        <v>77</v>
      </c>
      <c r="C9" s="17">
        <f>(C7+in_equity)/in_equity</f>
        <v>0</v>
      </c>
    </row>
    <row r="10" spans="2:6">
      <c r="B10" s="5" t="s">
        <v>78</v>
      </c>
      <c r="C10" s="11">
        <f>C7</f>
        <v>0</v>
      </c>
    </row>
    <row r="11" spans="2:6">
      <c r="B11" s="5" t="s">
        <v>79</v>
      </c>
      <c r="C11" s="10">
        <f>'Annual Cash Flow'!F13/in_tpc</f>
        <v>0</v>
      </c>
    </row>
    <row r="12" spans="2:6">
      <c r="B12" s="5" t="s">
        <v>80</v>
      </c>
      <c r="C12" s="10">
        <f>'Annual Cash Flow'!D21/in_equity</f>
        <v>0</v>
      </c>
    </row>
    <row r="13" spans="2:6">
      <c r="B13" s="5" t="s">
        <v>81</v>
      </c>
      <c r="C13" s="10">
        <f>'Annual Cash Flow'!F21/in_equity</f>
        <v>0</v>
      </c>
    </row>
  </sheetData>
  <mergeCells count="3">
    <mergeCell ref="B2:C2"/>
    <mergeCell ref="B3:C3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B1A33"/>
  </sheetPr>
  <dimension ref="B2:E16"/>
  <sheetViews>
    <sheetView showGridLines="0" workbookViewId="0"/>
  </sheetViews>
  <sheetFormatPr defaultRowHeight="15"/>
  <cols>
    <col min="1" max="1" width="2.7109375" customWidth="1"/>
    <col min="2" max="2" width="22.7109375" customWidth="1"/>
    <col min="3" max="3" width="20.7109375" customWidth="1"/>
    <col min="4" max="4" width="22.7109375" customWidth="1"/>
    <col min="5" max="5" width="20.7109375" customWidth="1"/>
  </cols>
  <sheetData>
    <row r="2" spans="2:5">
      <c r="B2" s="1" t="s">
        <v>87</v>
      </c>
      <c r="C2" s="1"/>
      <c r="D2" s="1"/>
      <c r="E2" s="1"/>
    </row>
    <row r="3" spans="2:5">
      <c r="B3" s="2" t="s">
        <v>88</v>
      </c>
      <c r="C3" s="2"/>
      <c r="D3" s="2"/>
      <c r="E3" s="2"/>
    </row>
    <row r="5" spans="2:5">
      <c r="B5" s="3" t="s">
        <v>89</v>
      </c>
      <c r="C5" s="3"/>
      <c r="D5" s="3"/>
      <c r="E5" s="3"/>
    </row>
    <row r="6" spans="2:5">
      <c r="B6" s="5" t="s">
        <v>90</v>
      </c>
      <c r="C6" s="11">
        <f>in_name</f>
        <v>0</v>
      </c>
      <c r="D6" s="11"/>
      <c r="E6" s="11"/>
    </row>
    <row r="7" spans="2:5">
      <c r="B7" s="5" t="s">
        <v>17</v>
      </c>
      <c r="C7" s="11">
        <f>in_scenario</f>
        <v>0</v>
      </c>
      <c r="D7" s="11"/>
      <c r="E7" s="11"/>
    </row>
    <row r="8" spans="2:5">
      <c r="B8" s="5" t="s">
        <v>91</v>
      </c>
      <c r="C8" s="11">
        <f>in_hold_years</f>
        <v>0</v>
      </c>
    </row>
    <row r="10" spans="2:5">
      <c r="B10" s="3" t="s">
        <v>92</v>
      </c>
      <c r="C10" s="3"/>
      <c r="D10" s="3"/>
      <c r="E10" s="3"/>
    </row>
    <row r="11" spans="2:5">
      <c r="B11" s="18" t="s">
        <v>21</v>
      </c>
      <c r="C11" s="19">
        <f>in_tpc</f>
        <v>0</v>
      </c>
      <c r="D11" s="18" t="s">
        <v>43</v>
      </c>
      <c r="E11" s="19">
        <f>in_equity</f>
        <v>0</v>
      </c>
    </row>
    <row r="12" spans="2:5">
      <c r="B12" s="18" t="s">
        <v>93</v>
      </c>
      <c r="C12" s="19">
        <f>'Annual Cash Flow'!F13</f>
        <v>0</v>
      </c>
      <c r="D12" s="18" t="s">
        <v>94</v>
      </c>
      <c r="E12" s="19">
        <f>'Annual Cash Flow'!H13/in_exit_cap</f>
        <v>0</v>
      </c>
    </row>
    <row r="14" spans="2:5">
      <c r="B14" s="3" t="s">
        <v>95</v>
      </c>
      <c r="C14" s="3"/>
      <c r="D14" s="3"/>
      <c r="E14" s="3"/>
    </row>
    <row r="15" spans="2:5">
      <c r="B15" s="18" t="s">
        <v>76</v>
      </c>
      <c r="C15" s="20">
        <f>Returns!C8</f>
        <v>0</v>
      </c>
      <c r="D15" s="18" t="s">
        <v>77</v>
      </c>
      <c r="E15" s="21">
        <f>Returns!C9</f>
        <v>0</v>
      </c>
    </row>
    <row r="16" spans="2:5">
      <c r="B16" s="18" t="s">
        <v>96</v>
      </c>
      <c r="C16" s="20">
        <f>Returns!C13</f>
        <v>0</v>
      </c>
      <c r="D16" s="18" t="s">
        <v>97</v>
      </c>
      <c r="E16" s="20">
        <f>Returns!C11</f>
        <v>0</v>
      </c>
    </row>
  </sheetData>
  <mergeCells count="7">
    <mergeCell ref="B2:E2"/>
    <mergeCell ref="B3:E3"/>
    <mergeCell ref="B5:E5"/>
    <mergeCell ref="C6:E6"/>
    <mergeCell ref="C7:E7"/>
    <mergeCell ref="B10:E10"/>
    <mergeCell ref="B14:E14"/>
  </mergeCells>
  <pageMargins left="0.5" right="0.5" top="0.5" bottom="0.5" header="0.3" footer="0.3"/>
  <pageSetup paperSize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G22"/>
  <sheetViews>
    <sheetView showGridLines="0" workbookViewId="0"/>
  </sheetViews>
  <sheetFormatPr defaultRowHeight="15"/>
  <cols>
    <col min="1" max="1" width="2.7109375" customWidth="1"/>
    <col min="2" max="2" width="26.7109375" customWidth="1"/>
    <col min="3" max="7" width="14.7109375" customWidth="1"/>
  </cols>
  <sheetData>
    <row r="2" spans="2:7">
      <c r="B2" s="1" t="s">
        <v>98</v>
      </c>
      <c r="C2" s="1"/>
      <c r="D2" s="1"/>
      <c r="E2" s="1"/>
      <c r="F2" s="1"/>
      <c r="G2" s="1"/>
    </row>
    <row r="3" spans="2:7">
      <c r="B3" s="2" t="s">
        <v>99</v>
      </c>
      <c r="C3" s="2"/>
      <c r="D3" s="2"/>
      <c r="E3" s="2"/>
      <c r="F3" s="2"/>
      <c r="G3" s="2"/>
    </row>
    <row r="5" spans="2:7">
      <c r="B5" s="3" t="s">
        <v>100</v>
      </c>
      <c r="C5" s="3"/>
      <c r="D5" s="3"/>
      <c r="E5" s="3"/>
      <c r="F5" s="3"/>
      <c r="G5" s="3"/>
    </row>
    <row r="7" spans="2:7">
      <c r="B7" s="13" t="s">
        <v>101</v>
      </c>
      <c r="C7" s="22">
        <v>0.01</v>
      </c>
      <c r="D7" s="22">
        <v>0.02</v>
      </c>
      <c r="E7" s="22">
        <v>0.03</v>
      </c>
      <c r="F7" s="22">
        <v>0.04</v>
      </c>
      <c r="G7" s="22">
        <v>0.05</v>
      </c>
    </row>
    <row r="8" spans="2:7">
      <c r="B8" s="22">
        <f>in_exit_cap+-0.01</f>
        <v>0</v>
      </c>
      <c r="C8" s="23">
        <f>IFERROR(('Annual Cash Flow'!F13*(1+0.01)^2/(in_exit_cap+-0.01)*(1-in_sale_costs)-in_loan)/in_equity,0)</f>
        <v>0</v>
      </c>
      <c r="D8" s="23">
        <f>IFERROR(('Annual Cash Flow'!F13*(1+0.02)^2/(in_exit_cap+-0.01)*(1-in_sale_costs)-in_loan)/in_equity,0)</f>
        <v>0</v>
      </c>
      <c r="E8" s="23">
        <f>IFERROR(('Annual Cash Flow'!F13*(1+0.03)^2/(in_exit_cap+-0.01)*(1-in_sale_costs)-in_loan)/in_equity,0)</f>
        <v>0</v>
      </c>
      <c r="F8" s="23">
        <f>IFERROR(('Annual Cash Flow'!F13*(1+0.04)^2/(in_exit_cap+-0.01)*(1-in_sale_costs)-in_loan)/in_equity,0)</f>
        <v>0</v>
      </c>
      <c r="G8" s="23">
        <f>IFERROR(('Annual Cash Flow'!F13*(1+0.05)^2/(in_exit_cap+-0.01)*(1-in_sale_costs)-in_loan)/in_equity,0)</f>
        <v>0</v>
      </c>
    </row>
    <row r="9" spans="2:7">
      <c r="B9" s="22">
        <f>in_exit_cap+-0.005</f>
        <v>0</v>
      </c>
      <c r="C9" s="23">
        <f>IFERROR(('Annual Cash Flow'!F13*(1+0.01)^2/(in_exit_cap+-0.005)*(1-in_sale_costs)-in_loan)/in_equity,0)</f>
        <v>0</v>
      </c>
      <c r="D9" s="23">
        <f>IFERROR(('Annual Cash Flow'!F13*(1+0.02)^2/(in_exit_cap+-0.005)*(1-in_sale_costs)-in_loan)/in_equity,0)</f>
        <v>0</v>
      </c>
      <c r="E9" s="23">
        <f>IFERROR(('Annual Cash Flow'!F13*(1+0.03)^2/(in_exit_cap+-0.005)*(1-in_sale_costs)-in_loan)/in_equity,0)</f>
        <v>0</v>
      </c>
      <c r="F9" s="23">
        <f>IFERROR(('Annual Cash Flow'!F13*(1+0.04)^2/(in_exit_cap+-0.005)*(1-in_sale_costs)-in_loan)/in_equity,0)</f>
        <v>0</v>
      </c>
      <c r="G9" s="23">
        <f>IFERROR(('Annual Cash Flow'!F13*(1+0.05)^2/(in_exit_cap+-0.005)*(1-in_sale_costs)-in_loan)/in_equity,0)</f>
        <v>0</v>
      </c>
    </row>
    <row r="10" spans="2:7">
      <c r="B10" s="22">
        <f>in_exit_cap+0.0</f>
        <v>0</v>
      </c>
      <c r="C10" s="23">
        <f>IFERROR(('Annual Cash Flow'!F13*(1+0.01)^2/(in_exit_cap+0.0)*(1-in_sale_costs)-in_loan)/in_equity,0)</f>
        <v>0</v>
      </c>
      <c r="D10" s="23">
        <f>IFERROR(('Annual Cash Flow'!F13*(1+0.02)^2/(in_exit_cap+0.0)*(1-in_sale_costs)-in_loan)/in_equity,0)</f>
        <v>0</v>
      </c>
      <c r="E10" s="23">
        <f>IFERROR(('Annual Cash Flow'!F13*(1+0.03)^2/(in_exit_cap+0.0)*(1-in_sale_costs)-in_loan)/in_equity,0)</f>
        <v>0</v>
      </c>
      <c r="F10" s="23">
        <f>IFERROR(('Annual Cash Flow'!F13*(1+0.04)^2/(in_exit_cap+0.0)*(1-in_sale_costs)-in_loan)/in_equity,0)</f>
        <v>0</v>
      </c>
      <c r="G10" s="23">
        <f>IFERROR(('Annual Cash Flow'!F13*(1+0.05)^2/(in_exit_cap+0.0)*(1-in_sale_costs)-in_loan)/in_equity,0)</f>
        <v>0</v>
      </c>
    </row>
    <row r="11" spans="2:7">
      <c r="B11" s="22">
        <f>in_exit_cap+0.005</f>
        <v>0</v>
      </c>
      <c r="C11" s="23">
        <f>IFERROR(('Annual Cash Flow'!F13*(1+0.01)^2/(in_exit_cap+0.005)*(1-in_sale_costs)-in_loan)/in_equity,0)</f>
        <v>0</v>
      </c>
      <c r="D11" s="23">
        <f>IFERROR(('Annual Cash Flow'!F13*(1+0.02)^2/(in_exit_cap+0.005)*(1-in_sale_costs)-in_loan)/in_equity,0)</f>
        <v>0</v>
      </c>
      <c r="E11" s="23">
        <f>IFERROR(('Annual Cash Flow'!F13*(1+0.03)^2/(in_exit_cap+0.005)*(1-in_sale_costs)-in_loan)/in_equity,0)</f>
        <v>0</v>
      </c>
      <c r="F11" s="23">
        <f>IFERROR(('Annual Cash Flow'!F13*(1+0.04)^2/(in_exit_cap+0.005)*(1-in_sale_costs)-in_loan)/in_equity,0)</f>
        <v>0</v>
      </c>
      <c r="G11" s="23">
        <f>IFERROR(('Annual Cash Flow'!F13*(1+0.05)^2/(in_exit_cap+0.005)*(1-in_sale_costs)-in_loan)/in_equity,0)</f>
        <v>0</v>
      </c>
    </row>
    <row r="12" spans="2:7">
      <c r="B12" s="22">
        <f>in_exit_cap+0.01</f>
        <v>0</v>
      </c>
      <c r="C12" s="23">
        <f>IFERROR(('Annual Cash Flow'!F13*(1+0.01)^2/(in_exit_cap+0.01)*(1-in_sale_costs)-in_loan)/in_equity,0)</f>
        <v>0</v>
      </c>
      <c r="D12" s="23">
        <f>IFERROR(('Annual Cash Flow'!F13*(1+0.02)^2/(in_exit_cap+0.01)*(1-in_sale_costs)-in_loan)/in_equity,0)</f>
        <v>0</v>
      </c>
      <c r="E12" s="23">
        <f>IFERROR(('Annual Cash Flow'!F13*(1+0.03)^2/(in_exit_cap+0.01)*(1-in_sale_costs)-in_loan)/in_equity,0)</f>
        <v>0</v>
      </c>
      <c r="F12" s="23">
        <f>IFERROR(('Annual Cash Flow'!F13*(1+0.04)^2/(in_exit_cap+0.01)*(1-in_sale_costs)-in_loan)/in_equity,0)</f>
        <v>0</v>
      </c>
      <c r="G12" s="23">
        <f>IFERROR(('Annual Cash Flow'!F13*(1+0.05)^2/(in_exit_cap+0.01)*(1-in_sale_costs)-in_loan)/in_equity,0)</f>
        <v>0</v>
      </c>
    </row>
    <row r="14" spans="2:7">
      <c r="B14" s="3" t="s">
        <v>102</v>
      </c>
      <c r="C14" s="3"/>
      <c r="D14" s="3"/>
      <c r="E14" s="3"/>
      <c r="F14" s="3"/>
      <c r="G14" s="3"/>
    </row>
    <row r="16" spans="2:7">
      <c r="B16" s="13" t="s">
        <v>103</v>
      </c>
      <c r="C16" s="24">
        <v>3</v>
      </c>
      <c r="D16" s="24">
        <v>4</v>
      </c>
      <c r="E16" s="24">
        <v>5</v>
      </c>
      <c r="F16" s="24">
        <v>7</v>
      </c>
      <c r="G16" s="24">
        <v>10</v>
      </c>
    </row>
    <row r="17" spans="2:7">
      <c r="B17" s="22">
        <f>in_exit_cap+-0.01</f>
        <v>0</v>
      </c>
      <c r="C17" s="25">
        <f>IFERROR('Annual Cash Flow'!F13/(in_exit_cap+-0.01),0)</f>
        <v>0</v>
      </c>
      <c r="D17" s="25">
        <f>IFERROR('Annual Cash Flow'!G13/(in_exit_cap+-0.01),0)</f>
        <v>0</v>
      </c>
      <c r="E17" s="25">
        <f>IFERROR('Annual Cash Flow'!H13/(in_exit_cap+-0.01),0)</f>
        <v>0</v>
      </c>
      <c r="F17" s="25">
        <f>IFERROR('Annual Cash Flow'!J13/(in_exit_cap+-0.01),0)</f>
        <v>0</v>
      </c>
      <c r="G17" s="25">
        <f>IFERROR('Annual Cash Flow'!M13/(in_exit_cap+-0.01),0)</f>
        <v>0</v>
      </c>
    </row>
    <row r="18" spans="2:7">
      <c r="B18" s="22">
        <f>in_exit_cap+-0.005</f>
        <v>0</v>
      </c>
      <c r="C18" s="25">
        <f>IFERROR('Annual Cash Flow'!F13/(in_exit_cap+-0.005),0)</f>
        <v>0</v>
      </c>
      <c r="D18" s="25">
        <f>IFERROR('Annual Cash Flow'!G13/(in_exit_cap+-0.005),0)</f>
        <v>0</v>
      </c>
      <c r="E18" s="25">
        <f>IFERROR('Annual Cash Flow'!H13/(in_exit_cap+-0.005),0)</f>
        <v>0</v>
      </c>
      <c r="F18" s="25">
        <f>IFERROR('Annual Cash Flow'!J13/(in_exit_cap+-0.005),0)</f>
        <v>0</v>
      </c>
      <c r="G18" s="25">
        <f>IFERROR('Annual Cash Flow'!M13/(in_exit_cap+-0.005),0)</f>
        <v>0</v>
      </c>
    </row>
    <row r="19" spans="2:7">
      <c r="B19" s="22">
        <f>in_exit_cap+0.0</f>
        <v>0</v>
      </c>
      <c r="C19" s="25">
        <f>IFERROR('Annual Cash Flow'!F13/(in_exit_cap+0.0),0)</f>
        <v>0</v>
      </c>
      <c r="D19" s="25">
        <f>IFERROR('Annual Cash Flow'!G13/(in_exit_cap+0.0),0)</f>
        <v>0</v>
      </c>
      <c r="E19" s="25">
        <f>IFERROR('Annual Cash Flow'!H13/(in_exit_cap+0.0),0)</f>
        <v>0</v>
      </c>
      <c r="F19" s="25">
        <f>IFERROR('Annual Cash Flow'!J13/(in_exit_cap+0.0),0)</f>
        <v>0</v>
      </c>
      <c r="G19" s="25">
        <f>IFERROR('Annual Cash Flow'!M13/(in_exit_cap+0.0),0)</f>
        <v>0</v>
      </c>
    </row>
    <row r="20" spans="2:7">
      <c r="B20" s="22">
        <f>in_exit_cap+0.005</f>
        <v>0</v>
      </c>
      <c r="C20" s="25">
        <f>IFERROR('Annual Cash Flow'!F13/(in_exit_cap+0.005),0)</f>
        <v>0</v>
      </c>
      <c r="D20" s="25">
        <f>IFERROR('Annual Cash Flow'!G13/(in_exit_cap+0.005),0)</f>
        <v>0</v>
      </c>
      <c r="E20" s="25">
        <f>IFERROR('Annual Cash Flow'!H13/(in_exit_cap+0.005),0)</f>
        <v>0</v>
      </c>
      <c r="F20" s="25">
        <f>IFERROR('Annual Cash Flow'!J13/(in_exit_cap+0.005),0)</f>
        <v>0</v>
      </c>
      <c r="G20" s="25">
        <f>IFERROR('Annual Cash Flow'!M13/(in_exit_cap+0.005),0)</f>
        <v>0</v>
      </c>
    </row>
    <row r="21" spans="2:7">
      <c r="B21" s="22">
        <f>in_exit_cap+0.01</f>
        <v>0</v>
      </c>
      <c r="C21" s="25">
        <f>IFERROR('Annual Cash Flow'!F13/(in_exit_cap+0.01),0)</f>
        <v>0</v>
      </c>
      <c r="D21" s="25">
        <f>IFERROR('Annual Cash Flow'!G13/(in_exit_cap+0.01),0)</f>
        <v>0</v>
      </c>
      <c r="E21" s="25">
        <f>IFERROR('Annual Cash Flow'!H13/(in_exit_cap+0.01),0)</f>
        <v>0</v>
      </c>
      <c r="F21" s="25">
        <f>IFERROR('Annual Cash Flow'!J13/(in_exit_cap+0.01),0)</f>
        <v>0</v>
      </c>
      <c r="G21" s="25">
        <f>IFERROR('Annual Cash Flow'!M13/(in_exit_cap+0.01),0)</f>
        <v>0</v>
      </c>
    </row>
    <row r="22" spans="2:7">
      <c r="B22" s="12" t="s">
        <v>104</v>
      </c>
    </row>
  </sheetData>
  <mergeCells count="4">
    <mergeCell ref="B2:G2"/>
    <mergeCell ref="B3:G3"/>
    <mergeCell ref="B5:G5"/>
    <mergeCell ref="B14:G14"/>
  </mergeCells>
  <conditionalFormatting sqref="C17:G21">
    <cfRule type="colorScale" priority="2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C8:G12">
    <cfRule type="colorScale" priority="1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24</vt:i4>
      </vt:variant>
    </vt:vector>
  </HeadingPairs>
  <TitlesOfParts>
    <vt:vector size="30" baseType="lpstr">
      <vt:lpstr>Instructions</vt:lpstr>
      <vt:lpstr>Assumptions</vt:lpstr>
      <vt:lpstr>Annual Cash Flow</vt:lpstr>
      <vt:lpstr>Returns</vt:lpstr>
      <vt:lpstr>Output</vt:lpstr>
      <vt:lpstr>Sensitivity</vt:lpstr>
      <vt:lpstr>in_asset_type</vt:lpstr>
      <vt:lpstr>in_capex_total</vt:lpstr>
      <vt:lpstr>in_capex_y1</vt:lpstr>
      <vt:lpstr>in_capex_y2</vt:lpstr>
      <vt:lpstr>in_equity</vt:lpstr>
      <vt:lpstr>in_exit_cap</vt:lpstr>
      <vt:lpstr>in_hold_years</vt:lpstr>
      <vt:lpstr>in_loan</vt:lpstr>
      <vt:lpstr>in_loan_amort</vt:lpstr>
      <vt:lpstr>in_loan_io</vt:lpstr>
      <vt:lpstr>in_loan_rate</vt:lpstr>
      <vt:lpstr>in_name</vt:lpstr>
      <vt:lpstr>in_opex_growth</vt:lpstr>
      <vt:lpstr>in_opex_y0_per_unit</vt:lpstr>
      <vt:lpstr>in_rent_growth</vt:lpstr>
      <vt:lpstr>in_rent_y0</vt:lpstr>
      <vt:lpstr>in_rent_y3_target</vt:lpstr>
      <vt:lpstr>in_sale_costs</vt:lpstr>
      <vt:lpstr>in_scenario</vt:lpstr>
      <vt:lpstr>in_tpc</vt:lpstr>
      <vt:lpstr>in_unit_count</vt:lpstr>
      <vt:lpstr>in_vacancy_stab</vt:lpstr>
      <vt:lpstr>in_vacancy_y0</vt:lpstr>
      <vt:lpstr>Output!Print_Area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Valore Registry — Cash Flow Projection</dc:title>
  <dc:subject>CRE 10-year DCF model</dc:subject>
  <dc:creator>Valore Registry</dc:creator>
  <cp:lastModifiedBy>Valore Registry</cp:lastModifiedBy>
  <dcterms:created xsi:type="dcterms:W3CDTF">2026-05-29T23:23:36Z</dcterms:created>
  <dcterms:modified xsi:type="dcterms:W3CDTF">2026-05-29T23:23:36Z</dcterms:modified>
  <cp:category>CRE Templates</cp:category>
</cp:coreProperties>
</file>