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Project Summary" sheetId="2" r:id="rId2"/>
    <sheet name="Unit Renovation" sheetId="3" r:id="rId3"/>
    <sheet name="Common Area" sheetId="4" r:id="rId4"/>
    <sheet name="Exterior" sheetId="5" r:id="rId5"/>
    <sheet name="Soft Costs" sheetId="6" r:id="rId6"/>
    <sheet name="Contingency" sheetId="7" r:id="rId7"/>
    <sheet name="Draw Schedule" sheetId="8" r:id="rId8"/>
    <sheet name="Variance" sheetId="9" r:id="rId9"/>
    <sheet name="Cost Overrun" sheetId="10" r:id="rId10"/>
    <sheet name="Lender Summary" sheetId="11" r:id="rId11"/>
    <sheet name="Budget Rollup" sheetId="12" r:id="rId12"/>
  </sheets>
  <definedNames>
    <definedName name="_xlnm.Print_Area" localSheetId="11">'Budget Rollup'!$A$1:$D$16</definedName>
    <definedName name="_xlnm.Print_Area" localSheetId="10">'Lender Summary'!$A$1:$C$15</definedName>
    <definedName name="r_budget_per_unit">'Project Summary'!$C$10</definedName>
    <definedName name="r_common_area">'Project Summary'!$C$11</definedName>
    <definedName name="r_exterior">'Project Summary'!$C$12</definedName>
    <definedName name="r_hard_contingency_pct">'Project Summary'!$C$14</definedName>
    <definedName name="r_hard_subtotal">'Project Summary'!$C$21</definedName>
    <definedName name="r_loan_pct">'Project Summary'!$C$18</definedName>
    <definedName name="r_months">'Project Summary'!$C$17</definedName>
    <definedName name="r_name">'Project Summary'!$C$7</definedName>
    <definedName name="r_owner_contingency">'Project Summary'!$C$16</definedName>
    <definedName name="r_renovated">'Project Summary'!$C$9</definedName>
    <definedName name="r_soft">'Project Summary'!$C$13</definedName>
    <definedName name="r_soft_contingency_pct">'Project Summary'!$C$15</definedName>
    <definedName name="r_total_budget">'Project Summary'!$C$25</definedName>
    <definedName name="r_unit_total">'Project Summary'!$C$20</definedName>
    <definedName name="r_units">'Project Summary'!$C$8</definedName>
  </definedNames>
  <calcPr calcId="124519" fullCalcOnLoad="1"/>
</workbook>
</file>

<file path=xl/sharedStrings.xml><?xml version="1.0" encoding="utf-8"?>
<sst xmlns="http://schemas.openxmlformats.org/spreadsheetml/2006/main" count="175" uniqueCount="160">
  <si>
    <t>Renovation Budget Builder · Instructions</t>
  </si>
  <si>
    <t>Version 1.0</t>
  </si>
  <si>
    <t>HOW TO USE</t>
  </si>
  <si>
    <t xml:space="preserve">  1. Start with Project Summary tab -- fill yellow cells first.</t>
  </si>
  <si>
    <t xml:space="preserve">  2. Fill per-category budget tabs (Unit Renovation, Common Area, Exterior, Soft Costs).</t>
  </si>
  <si>
    <t xml:space="preserve">  3. Contingency tab tracks hard / soft / owner reserves.</t>
  </si>
  <si>
    <t xml:space="preserve">  4. Draw Schedule projects monthly spend through the renovation period.</t>
  </si>
  <si>
    <t xml:space="preserve">  5. Budget Rollup shows the IC-ready category summary -- share this with your lender.</t>
  </si>
  <si>
    <t xml:space="preserve">  6. Variance tab tracks budget vs actual over the project life.</t>
  </si>
  <si>
    <t xml:space="preserve">  7. Cost Overrun Sensitivity tests deal economics at different overrun scenarios.</t>
  </si>
  <si>
    <t xml:space="preserve">  8. Lender Summary tab prints to one letter page.</t>
  </si>
  <si>
    <t xml:space="preserve">     Tip: yellow cells are required fields. Budget Rollup and Lender Summary auto-populate.</t>
  </si>
  <si>
    <t xml:space="preserve">     Navigation: 12 tabs total -- use Ctrl+PgDn / Ctrl+PgUp to move between tabs.</t>
  </si>
  <si>
    <t>Project Summary</t>
  </si>
  <si>
    <t>Top-level project info. Drives downstream calcs.</t>
  </si>
  <si>
    <t>PROJECT</t>
  </si>
  <si>
    <t>Property name</t>
  </si>
  <si>
    <t>Dallas Garden VA</t>
  </si>
  <si>
    <t>Units (total)</t>
  </si>
  <si>
    <t>Units to be renovated</t>
  </si>
  <si>
    <t>Budget per unit ($)</t>
  </si>
  <si>
    <t>Common area budget</t>
  </si>
  <si>
    <t>Exterior / site work</t>
  </si>
  <si>
    <t>Soft costs</t>
  </si>
  <si>
    <t>Hard contingency %</t>
  </si>
  <si>
    <t>Soft contingency %</t>
  </si>
  <si>
    <t>Owner contingency</t>
  </si>
  <si>
    <t>Project months</t>
  </si>
  <si>
    <t>% funded by loan</t>
  </si>
  <si>
    <t>COMPUTED TOTALS</t>
  </si>
  <si>
    <t>Unit renovation total</t>
  </si>
  <si>
    <t>Hard cost subtotal</t>
  </si>
  <si>
    <t>Hard contingency</t>
  </si>
  <si>
    <t>Soft contingency</t>
  </si>
  <si>
    <t>Total contingency (incl owner)</t>
  </si>
  <si>
    <t>TOTAL BUDGET</t>
  </si>
  <si>
    <t>$/unit (all-in)</t>
  </si>
  <si>
    <t>Unit Renovation Budget</t>
  </si>
  <si>
    <t>Per-unit scope. Cost per unit x units affected = total.</t>
  </si>
  <si>
    <t>Scope item</t>
  </si>
  <si>
    <t>Units affected</t>
  </si>
  <si>
    <t>Cost / unit</t>
  </si>
  <si>
    <t>Total cost</t>
  </si>
  <si>
    <t>Notes</t>
  </si>
  <si>
    <t>Flooring (LVP / carpet)</t>
  </si>
  <si>
    <t>Vinyl plank kitchens + carpet bedrooms</t>
  </si>
  <si>
    <t>Paint (walls + trim)</t>
  </si>
  <si>
    <t>Two coats, full unit</t>
  </si>
  <si>
    <t>Cabinets (reface or replace)</t>
  </si>
  <si>
    <t>Reface in 70%, replace in 30%</t>
  </si>
  <si>
    <t>Countertops (quartz)</t>
  </si>
  <si>
    <t>Quartz in all kitchens</t>
  </si>
  <si>
    <t>Appliances (stainless)</t>
  </si>
  <si>
    <t>Range + DW + fridge + MW</t>
  </si>
  <si>
    <t>Bathroom fixtures</t>
  </si>
  <si>
    <t>Vanity + toilet + shower</t>
  </si>
  <si>
    <t>Lighting (LED conversion)</t>
  </si>
  <si>
    <t>All fixtures</t>
  </si>
  <si>
    <t>Doors / hardware</t>
  </si>
  <si>
    <t>Interior doors only</t>
  </si>
  <si>
    <t>Plumbing fixtures</t>
  </si>
  <si>
    <t>Faucets, valves</t>
  </si>
  <si>
    <t>Electrical</t>
  </si>
  <si>
    <t>Outlets, switches, USB outlets</t>
  </si>
  <si>
    <t>HVAC refresh</t>
  </si>
  <si>
    <t>Filter + service, no replacement</t>
  </si>
  <si>
    <t>Smart-home + misc</t>
  </si>
  <si>
    <t>Locks + thermostats</t>
  </si>
  <si>
    <t>Window treatments</t>
  </si>
  <si>
    <t>Blinds</t>
  </si>
  <si>
    <t>Misc / soft scope</t>
  </si>
  <si>
    <t>Buffer for surprises</t>
  </si>
  <si>
    <t>TOTAL</t>
  </si>
  <si>
    <t>Common Area Budget</t>
  </si>
  <si>
    <t>Amount</t>
  </si>
  <si>
    <t>Lobby / leasing office</t>
  </si>
  <si>
    <t>Hallways / corridors</t>
  </si>
  <si>
    <t>Amenity rooms (clubroom)</t>
  </si>
  <si>
    <t>Fitness center</t>
  </si>
  <si>
    <t>Laundry</t>
  </si>
  <si>
    <t>Exterior Budget</t>
  </si>
  <si>
    <t>Roof repairs / coating</t>
  </si>
  <si>
    <t>Parking lot resurface</t>
  </si>
  <si>
    <t>Landscaping refresh</t>
  </si>
  <si>
    <t>Site lighting</t>
  </si>
  <si>
    <t>Pool / spa refresh</t>
  </si>
  <si>
    <t>Misc site work</t>
  </si>
  <si>
    <t>Soft Costs Budget</t>
  </si>
  <si>
    <t>Architecture</t>
  </si>
  <si>
    <t>Engineering</t>
  </si>
  <si>
    <t>Permits</t>
  </si>
  <si>
    <t>Legal</t>
  </si>
  <si>
    <t>Insurance (builders risk)</t>
  </si>
  <si>
    <t>Project management</t>
  </si>
  <si>
    <t>Testing / inspection</t>
  </si>
  <si>
    <t>Other soft</t>
  </si>
  <si>
    <t>Contingency Tracker</t>
  </si>
  <si>
    <t>Track each contingency draw with reason and balance remaining.</t>
  </si>
  <si>
    <t>CONTINGENCY POOLS</t>
  </si>
  <si>
    <t>Hard contingency (initial)</t>
  </si>
  <si>
    <t>Soft contingency (initial)</t>
  </si>
  <si>
    <t>Owner contingency (initial)</t>
  </si>
  <si>
    <t>Total contingency</t>
  </si>
  <si>
    <t>DRAW LOG</t>
  </si>
  <si>
    <t>Date</t>
  </si>
  <si>
    <t>Reason - approved by</t>
  </si>
  <si>
    <t>Monthly Draw Schedule</t>
  </si>
  <si>
    <t>Project month, budgeted spend, actual, variance.</t>
  </si>
  <si>
    <t>Month</t>
  </si>
  <si>
    <t>Budgeted spend</t>
  </si>
  <si>
    <t>Actual spend</t>
  </si>
  <si>
    <t>Cumulative actual</t>
  </si>
  <si>
    <t>Remaining budget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</si>
  <si>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</si>
  <si>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</si>
  <si>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</si>
  <si>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</si>
  <si>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</si>
  <si>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</si>
  <si>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</si>
  <si>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</si>
  <si>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</si>
  <si>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</si>
  <si>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</si>
  <si>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</si>
  <si>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</si>
  <si>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</si>
  <si>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Budget Variance</t>
  </si>
  <si>
    <t>Original vs revised vs actual. Sort by absolute variance.</t>
  </si>
  <si>
    <t>Line item</t>
  </si>
  <si>
    <t>Original budget</t>
  </si>
  <si>
    <t>Revised budget</t>
  </si>
  <si>
    <t>Actual cost</t>
  </si>
  <si>
    <t>Variance / Reason</t>
  </si>
  <si>
    <t>Cost Overrun Sensitivity</t>
  </si>
  <si>
    <t>Overrun % x Contingency size -- Equity rebalance required.</t>
  </si>
  <si>
    <t>OVERRUN x CONTINGENCY -- EQUITY GAP</t>
  </si>
  <si>
    <t>Contg % \ Overrun</t>
  </si>
  <si>
    <t>Lender Summary Output</t>
  </si>
  <si>
    <t>Print-ready summary. Distribute to lender / IC.</t>
  </si>
  <si>
    <t>Property</t>
  </si>
  <si>
    <t>Scope</t>
  </si>
  <si>
    <t>Total budget</t>
  </si>
  <si>
    <t>Hard / soft / contingency</t>
  </si>
  <si>
    <t>Timeline</t>
  </si>
  <si>
    <t>Funding source split</t>
  </si>
  <si>
    <t>Budget Rollup -- By Category</t>
  </si>
  <si>
    <t>Consolidated budget by category with % of total. IC-ready overview.</t>
  </si>
  <si>
    <t>CATEGORY BREAKDOWN</t>
  </si>
  <si>
    <t>Category</t>
  </si>
  <si>
    <t>Budget</t>
  </si>
  <si>
    <t>% of Total</t>
  </si>
  <si>
    <t>Unit Renovation</t>
  </si>
  <si>
    <t>Common Area</t>
  </si>
  <si>
    <t>Exterior / Site</t>
  </si>
  <si>
    <t>Soft Costs</t>
  </si>
  <si>
    <t>Hard Contingency</t>
  </si>
  <si>
    <t>Soft Contingency</t>
  </si>
  <si>
    <t>Owner Contingency</t>
  </si>
  <si>
    <t>100.0%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</si>
</sst>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_($* #,##0_);_($* (#,##0);_($* &quot;-&quot;_);_(@_)"/>
    <numFmt numFmtId="166" formatCode="0.0%"/>
  </numFmts>
  <fonts count="10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11"/>
      <color rgb="FFFAF6E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F4E79"/>
      <name val="Calibri"/>
      <family val="2"/>
      <scheme val="minor"/>
    </font>
    <font>
      <b/>
      <sz val="11"/>
      <color rgb="FFB89A5B"/>
      <name val="Calibri"/>
      <family val="2"/>
      <scheme val="minor"/>
    </font>
    <font>
      <sz val="10"/>
      <color rgb="FF16192A"/>
      <name val="Calibri"/>
      <family val="2"/>
      <scheme val="minor"/>
    </font>
    <font>
      <b/>
      <sz val="9"/>
      <color rgb="FFFAF6E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inden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Monthly Draw: Budget vs Actual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Budgeted Spend</c:v>
          </c:tx>
          <c:spPr>
            <a:solidFill>
              <a:srgbClr val="0B1A33"/>
            </a:solidFill>
            <a:ln>
              <a:solidFill>
                <a:srgbClr val="0B1A33"/>
              </a:solidFill>
            </a:ln>
          </c:spPr>
          <c:cat>
            <c:strRef>
              <c:f>'Draw Schedule'!$B$6:$B$19</c:f>
              <c:strCache>
                <c:ptCount val="14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</c:strCache>
            </c:strRef>
          </c:cat>
          <c:val>
            <c:numRef>
              <c:f>'Draw Schedule'!$C$6:$C$19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v>Actual Spend</c:v>
          </c:tx>
          <c:spPr>
            <a:solidFill>
              <a:srgbClr val="B89A5B"/>
            </a:solidFill>
            <a:ln>
              <a:solidFill>
                <a:srgbClr val="B89A5B"/>
              </a:solidFill>
            </a:ln>
          </c:spPr>
          <c:cat>
            <c:strRef>
              <c:f>'Draw Schedule'!$B$6:$B$19</c:f>
              <c:strCache>
                <c:ptCount val="14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</c:strCache>
            </c:strRef>
          </c:cat>
          <c:val>
            <c:numRef>
              <c:f>'Draw Schedule'!$D$6:$D$19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Month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Amount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Total Budget by Category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Budget by Category</c:v>
          </c:tx>
          <c:dPt>
            <c:idx val="0"/>
            <c:spPr>
              <a:solidFill>
                <a:srgbClr val="0B1A33"/>
              </a:solidFill>
              <a:ln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B89A5B"/>
              </a:solidFill>
              <a:ln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F5EFE0"/>
              </a:solidFill>
              <a:ln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6E1E2F"/>
              </a:solidFill>
              <a:ln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3D4757"/>
              </a:solidFill>
              <a:ln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D8D2C4"/>
              </a:solidFill>
              <a:ln>
                <a:solidFill>
                  <a:srgbClr val="FFFFFF"/>
                </a:solidFill>
              </a:ln>
            </c:spPr>
          </c:dPt>
          <c:dPt>
            <c:idx val="6"/>
            <c:spPr>
              <a:solidFill>
                <a:srgbClr val="FAF6EE"/>
              </a:solidFill>
              <a:ln>
                <a:solidFill>
                  <a:srgbClr val="FFFFFF"/>
                </a:solidFill>
              </a:ln>
            </c:spPr>
          </c:dPt>
          <c:dLbls>
            <c:txPr>
              <a:bodyPr/>
              <a:lstStyle/>
              <a:p>
                <a:pPr>
                  <a:defRPr sz="800" baseline="0">
                    <a:latin typeface="Calibri"/>
                  </a:defRPr>
                </a:pPr>
                <a:endParaRPr lang="en-US"/>
              </a:p>
            </c:txPr>
            <c:showCatName val="1"/>
            <c:showPercent val="1"/>
          </c:dLbls>
          <c:cat>
            <c:strRef>
              <c:f>'Budget Rollup'!$B$7:$B$13</c:f>
              <c:strCache>
                <c:ptCount val="7"/>
                <c:pt idx="0">
                  <c:v>Unit Renovation</c:v>
                </c:pt>
                <c:pt idx="1">
                  <c:v>Common Area</c:v>
                </c:pt>
                <c:pt idx="2">
                  <c:v>Exterior / Site</c:v>
                </c:pt>
                <c:pt idx="3">
                  <c:v>Soft Costs</c:v>
                </c:pt>
                <c:pt idx="4">
                  <c:v>Hard Contingency</c:v>
                </c:pt>
                <c:pt idx="5">
                  <c:v>Soft Contingency</c:v>
                </c:pt>
                <c:pt idx="6">
                  <c:v>Owner Contingency</c:v>
                </c:pt>
              </c:strCache>
            </c:strRef>
          </c:cat>
          <c:val>
            <c:numRef>
              <c:f>'Budget Rollup'!$C$7:$C$13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firstSliceAng val="0"/>
      </c:pieChart>
    </c:plotArea>
    <c:legend>
      <c:legendPos val="b"/>
      <c:layout/>
      <c:txPr>
        <a:bodyPr/>
        <a:lstStyle/>
        <a:p>
          <a:pPr rtl="0">
            <a:defRPr sz="8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47625</xdr:rowOff>
    </xdr:from>
    <xdr:to>
      <xdr:col>5</xdr:col>
      <xdr:colOff>647700</xdr:colOff>
      <xdr:row>37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11</xdr:col>
      <xdr:colOff>342900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6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5" spans="2:2">
      <c r="B5" s="3" t="s">
        <v>2</v>
      </c>
    </row>
    <row r="7" spans="2:2">
      <c r="B7" s="4" t="s">
        <v>3</v>
      </c>
    </row>
    <row r="8" spans="2:2">
      <c r="B8" s="4" t="s">
        <v>4</v>
      </c>
    </row>
    <row r="9" spans="2:2">
      <c r="B9" s="4" t="s">
        <v>5</v>
      </c>
    </row>
    <row r="10" spans="2:2">
      <c r="B10" s="4" t="s">
        <v>6</v>
      </c>
    </row>
    <row r="11" spans="2:2">
      <c r="B11" s="4" t="s">
        <v>7</v>
      </c>
    </row>
    <row r="12" spans="2:2">
      <c r="B12" s="4" t="s">
        <v>8</v>
      </c>
    </row>
    <row r="13" spans="2:2">
      <c r="B13" s="4" t="s">
        <v>9</v>
      </c>
    </row>
    <row r="14" spans="2:2">
      <c r="B14" s="4" t="s">
        <v>10</v>
      </c>
    </row>
    <row r="15" spans="2:2">
      <c r="B15" s="4" t="s">
        <v>11</v>
      </c>
    </row>
    <row r="16" spans="2:2">
      <c r="B16" s="4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6E1E2F"/>
  </sheetPr>
  <dimension ref="B2:G12"/>
  <sheetViews>
    <sheetView showGridLines="0" workbookViewId="0"/>
  </sheetViews>
  <sheetFormatPr defaultRowHeight="15"/>
  <cols>
    <col min="1" max="1" width="2.7109375" customWidth="1"/>
    <col min="2" max="2" width="20.7109375" customWidth="1"/>
    <col min="3" max="7" width="14.7109375" customWidth="1"/>
  </cols>
  <sheetData>
    <row r="2" spans="2:7">
      <c r="B2" s="1" t="s">
        <v>134</v>
      </c>
      <c r="C2" s="1"/>
      <c r="D2" s="1"/>
      <c r="E2" s="1"/>
      <c r="F2" s="1"/>
      <c r="G2" s="1"/>
    </row>
    <row r="3" spans="2:7">
      <c r="B3" s="2" t="s">
        <v>135</v>
      </c>
      <c r="C3" s="2"/>
      <c r="D3" s="2"/>
      <c r="E3" s="2"/>
      <c r="F3" s="2"/>
      <c r="G3" s="2"/>
    </row>
    <row r="5" spans="2:7">
      <c r="B5" s="3" t="s">
        <v>136</v>
      </c>
      <c r="C5" s="3"/>
      <c r="D5" s="3"/>
      <c r="E5" s="3"/>
      <c r="F5" s="3"/>
      <c r="G5" s="3"/>
    </row>
    <row r="7" spans="2:7">
      <c r="B7" s="13" t="s">
        <v>137</v>
      </c>
      <c r="C7" s="9">
        <v>0</v>
      </c>
      <c r="D7" s="9">
        <v>0.05</v>
      </c>
      <c r="E7" s="9">
        <v>0.1</v>
      </c>
      <c r="F7" s="9">
        <v>0.15</v>
      </c>
      <c r="G7" s="9">
        <v>0.2</v>
      </c>
    </row>
    <row r="8" spans="2:7">
      <c r="B8" s="9">
        <v>0.03</v>
      </c>
      <c r="C8" s="11">
        <f>MAX(0,(0-0.03)*r_hard_subtotal)</f>
        <v>0</v>
      </c>
      <c r="D8" s="11">
        <f>MAX(0,(0.05-0.03)*r_hard_subtotal)</f>
        <v>0</v>
      </c>
      <c r="E8" s="11">
        <f>MAX(0,(0.1-0.03)*r_hard_subtotal)</f>
        <v>0</v>
      </c>
      <c r="F8" s="11">
        <f>MAX(0,(0.15-0.03)*r_hard_subtotal)</f>
        <v>0</v>
      </c>
      <c r="G8" s="11">
        <f>MAX(0,(0.2-0.03)*r_hard_subtotal)</f>
        <v>0</v>
      </c>
    </row>
    <row r="9" spans="2:7">
      <c r="B9" s="9">
        <v>0.05</v>
      </c>
      <c r="C9" s="11">
        <f>MAX(0,(0-0.05)*r_hard_subtotal)</f>
        <v>0</v>
      </c>
      <c r="D9" s="11">
        <f>MAX(0,(0.05-0.05)*r_hard_subtotal)</f>
        <v>0</v>
      </c>
      <c r="E9" s="11">
        <f>MAX(0,(0.1-0.05)*r_hard_subtotal)</f>
        <v>0</v>
      </c>
      <c r="F9" s="11">
        <f>MAX(0,(0.15-0.05)*r_hard_subtotal)</f>
        <v>0</v>
      </c>
      <c r="G9" s="11">
        <f>MAX(0,(0.2-0.05)*r_hard_subtotal)</f>
        <v>0</v>
      </c>
    </row>
    <row r="10" spans="2:7">
      <c r="B10" s="9">
        <v>0.07000000000000001</v>
      </c>
      <c r="C10" s="11">
        <f>MAX(0,(0-0.07)*r_hard_subtotal)</f>
        <v>0</v>
      </c>
      <c r="D10" s="11">
        <f>MAX(0,(0.05-0.07)*r_hard_subtotal)</f>
        <v>0</v>
      </c>
      <c r="E10" s="11">
        <f>MAX(0,(0.1-0.07)*r_hard_subtotal)</f>
        <v>0</v>
      </c>
      <c r="F10" s="11">
        <f>MAX(0,(0.15-0.07)*r_hard_subtotal)</f>
        <v>0</v>
      </c>
      <c r="G10" s="11">
        <f>MAX(0,(0.2-0.07)*r_hard_subtotal)</f>
        <v>0</v>
      </c>
    </row>
    <row r="11" spans="2:7">
      <c r="B11" s="9">
        <v>0.1</v>
      </c>
      <c r="C11" s="11">
        <f>MAX(0,(0-0.1)*r_hard_subtotal)</f>
        <v>0</v>
      </c>
      <c r="D11" s="11">
        <f>MAX(0,(0.05-0.1)*r_hard_subtotal)</f>
        <v>0</v>
      </c>
      <c r="E11" s="11">
        <f>MAX(0,(0.1-0.1)*r_hard_subtotal)</f>
        <v>0</v>
      </c>
      <c r="F11" s="11">
        <f>MAX(0,(0.15-0.1)*r_hard_subtotal)</f>
        <v>0</v>
      </c>
      <c r="G11" s="11">
        <f>MAX(0,(0.2-0.1)*r_hard_subtotal)</f>
        <v>0</v>
      </c>
    </row>
    <row r="12" spans="2:7">
      <c r="B12" s="9">
        <v>0.15</v>
      </c>
      <c r="C12" s="11">
        <f>MAX(0,(0-0.15)*r_hard_subtotal)</f>
        <v>0</v>
      </c>
      <c r="D12" s="11">
        <f>MAX(0,(0.05-0.15)*r_hard_subtotal)</f>
        <v>0</v>
      </c>
      <c r="E12" s="11">
        <f>MAX(0,(0.1-0.15)*r_hard_subtotal)</f>
        <v>0</v>
      </c>
      <c r="F12" s="11">
        <f>MAX(0,(0.15-0.15)*r_hard_subtotal)</f>
        <v>0</v>
      </c>
      <c r="G12" s="11">
        <f>MAX(0,(0.2-0.15)*r_hard_subtotal)</f>
        <v>0</v>
      </c>
    </row>
  </sheetData>
  <mergeCells count="3">
    <mergeCell ref="B2:G2"/>
    <mergeCell ref="B3:G3"/>
    <mergeCell ref="B5:G5"/>
  </mergeCells>
  <conditionalFormatting sqref="C8:G12">
    <cfRule type="colorScale" priority="1">
      <colorScale>
        <cfvo type="min" val="0"/>
        <cfvo type="percentile" val="50"/>
        <cfvo type="max" val="0"/>
        <color rgb="FFC6EFCE"/>
        <color rgb="FFFFEB9C"/>
        <color rgb="FFFFC7CE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B1A33"/>
  </sheetPr>
  <dimension ref="B2:C11"/>
  <sheetViews>
    <sheetView showGridLines="0" workbookViewId="0"/>
  </sheetViews>
  <sheetFormatPr defaultRowHeight="15"/>
  <cols>
    <col min="1" max="1" width="2.7109375" customWidth="1"/>
    <col min="2" max="2" width="30.7109375" customWidth="1"/>
    <col min="3" max="3" width="20.7109375" customWidth="1"/>
  </cols>
  <sheetData>
    <row r="2" spans="2:3">
      <c r="B2" s="1" t="s">
        <v>138</v>
      </c>
      <c r="C2" s="1"/>
    </row>
    <row r="3" spans="2:3">
      <c r="B3" s="2" t="s">
        <v>139</v>
      </c>
      <c r="C3" s="2"/>
    </row>
    <row r="5" spans="2:3">
      <c r="B5" s="5" t="s">
        <v>140</v>
      </c>
      <c r="C5" s="11">
        <f>r_name</f>
        <v>0</v>
      </c>
    </row>
    <row r="6" spans="2:3">
      <c r="B6" s="5" t="s">
        <v>141</v>
      </c>
      <c r="C6" s="11">
        <f>CONCATENATE(r_renovated," of ",r_units," units renovated")</f>
        <v>0</v>
      </c>
    </row>
    <row r="7" spans="2:3">
      <c r="B7" s="5" t="s">
        <v>142</v>
      </c>
      <c r="C7" s="10">
        <f>r_total_budget</f>
        <v>0</v>
      </c>
    </row>
    <row r="8" spans="2:3">
      <c r="B8" s="5" t="s">
        <v>36</v>
      </c>
      <c r="C8" s="11">
        <f>r_total_budget/r_units</f>
        <v>0</v>
      </c>
    </row>
    <row r="9" spans="2:3">
      <c r="B9" s="5" t="s">
        <v>143</v>
      </c>
      <c r="C9" s="4">
        <f>CONCATENATE(TEXT(r_hard_subtotal,"$#,##0")," / ",TEXT(r_soft,"$#,##0")," / ",TEXT((r_total_budget-r_hard_subtotal-r_soft),"$#,##0"))</f>
        <v>0</v>
      </c>
    </row>
    <row r="10" spans="2:3">
      <c r="B10" s="5" t="s">
        <v>144</v>
      </c>
      <c r="C10" s="4">
        <f>CONCATENATE(r_months," months")</f>
        <v>0</v>
      </c>
    </row>
    <row r="11" spans="2:3">
      <c r="B11" s="5" t="s">
        <v>145</v>
      </c>
      <c r="C11" s="4">
        <f>CONCATENATE(TEXT(r_loan_pct,"0%")," loan / ",TEXT(1-r_loan_pct,"0%")," equity")</f>
        <v>0</v>
      </c>
    </row>
  </sheetData>
  <mergeCells count="2">
    <mergeCell ref="B2:C2"/>
    <mergeCell ref="B3:C3"/>
  </mergeCells>
  <pageMargins left="0.7" right="0.7" top="0.75" bottom="0.75" header="0.3" footer="0.3"/>
  <pageSetup paperSize="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B1A33"/>
  </sheetPr>
  <dimension ref="B2:D16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4" width="18.7109375" customWidth="1"/>
  </cols>
  <sheetData>
    <row r="2" spans="2:4">
      <c r="B2" s="1" t="s">
        <v>146</v>
      </c>
      <c r="C2" s="1"/>
      <c r="D2" s="1"/>
    </row>
    <row r="3" spans="2:4">
      <c r="B3" s="2" t="s">
        <v>147</v>
      </c>
      <c r="C3" s="2"/>
      <c r="D3" s="2"/>
    </row>
    <row r="5" spans="2:4">
      <c r="B5" s="3" t="s">
        <v>148</v>
      </c>
      <c r="C5" s="3"/>
      <c r="D5" s="3"/>
    </row>
    <row r="6" spans="2:4">
      <c r="B6" s="13" t="s">
        <v>149</v>
      </c>
      <c r="C6" s="13" t="s">
        <v>150</v>
      </c>
      <c r="D6" s="13" t="s">
        <v>151</v>
      </c>
    </row>
    <row r="7" spans="2:4">
      <c r="B7" s="5" t="s">
        <v>152</v>
      </c>
      <c r="C7" s="11">
        <f>r_unit_total</f>
        <v>0</v>
      </c>
      <c r="D7" s="14">
        <f>IFERROR(C7/r_total_budget,0)</f>
        <v>0</v>
      </c>
    </row>
    <row r="8" spans="2:4">
      <c r="B8" s="5" t="s">
        <v>153</v>
      </c>
      <c r="C8" s="11">
        <f>r_common_area</f>
        <v>0</v>
      </c>
      <c r="D8" s="14">
        <f>IFERROR(C8/r_total_budget,0)</f>
        <v>0</v>
      </c>
    </row>
    <row r="9" spans="2:4">
      <c r="B9" s="5" t="s">
        <v>154</v>
      </c>
      <c r="C9" s="11">
        <f>r_exterior</f>
        <v>0</v>
      </c>
      <c r="D9" s="14">
        <f>IFERROR(C9/r_total_budget,0)</f>
        <v>0</v>
      </c>
    </row>
    <row r="10" spans="2:4">
      <c r="B10" s="5" t="s">
        <v>155</v>
      </c>
      <c r="C10" s="11">
        <f>r_soft</f>
        <v>0</v>
      </c>
      <c r="D10" s="14">
        <f>IFERROR(C10/r_total_budget,0)</f>
        <v>0</v>
      </c>
    </row>
    <row r="11" spans="2:4">
      <c r="B11" s="5" t="s">
        <v>156</v>
      </c>
      <c r="C11" s="11">
        <f>r_hard_subtotal*r_hard_contingency_pct</f>
        <v>0</v>
      </c>
      <c r="D11" s="14">
        <f>IFERROR(C11/r_total_budget,0)</f>
        <v>0</v>
      </c>
    </row>
    <row r="12" spans="2:4">
      <c r="B12" s="5" t="s">
        <v>157</v>
      </c>
      <c r="C12" s="11">
        <f>r_soft*r_soft_contingency_pct</f>
        <v>0</v>
      </c>
      <c r="D12" s="14">
        <f>IFERROR(C12/r_total_budget,0)</f>
        <v>0</v>
      </c>
    </row>
    <row r="13" spans="2:4">
      <c r="B13" s="5" t="s">
        <v>158</v>
      </c>
      <c r="C13" s="11">
        <f>r_owner_contingency</f>
        <v>0</v>
      </c>
      <c r="D13" s="14">
        <f>IFERROR(C13/r_total_budget,0)</f>
        <v>0</v>
      </c>
    </row>
    <row r="14" spans="2:4">
      <c r="B14" s="5" t="s">
        <v>35</v>
      </c>
      <c r="C14" s="12">
        <f>r_total_budget</f>
        <v>0</v>
      </c>
      <c r="D14" s="15" t="s">
        <v>159</v>
      </c>
    </row>
    <row r="16" spans="2:4">
      <c r="B16" s="5">
        <f>r_name</f>
        <v>0</v>
      </c>
      <c r="C16" s="11">
        <f>CONCATENATE(TEXT(r_total_budget,"$#,##0")," total / ",TEXT(r_total_budget/r_units,"$#,##0"),"/unit")</f>
        <v>0</v>
      </c>
    </row>
  </sheetData>
  <mergeCells count="3">
    <mergeCell ref="B2:D2"/>
    <mergeCell ref="B3:D3"/>
    <mergeCell ref="B5:D5"/>
  </mergeCells>
  <pageMargins left="0.7" right="0.7" top="0.75" bottom="0.75" header="0.3" footer="0.3"/>
  <pageSetup paperSize="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26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3" width="20.7109375" customWidth="1"/>
  </cols>
  <sheetData>
    <row r="2" spans="2:3">
      <c r="B2" s="1" t="s">
        <v>13</v>
      </c>
      <c r="C2" s="1"/>
    </row>
    <row r="3" spans="2:3">
      <c r="B3" s="2" t="s">
        <v>14</v>
      </c>
      <c r="C3" s="2"/>
    </row>
    <row r="5" spans="2:3">
      <c r="B5" s="3" t="s">
        <v>15</v>
      </c>
      <c r="C5" s="3"/>
    </row>
    <row r="7" spans="2:3">
      <c r="B7" s="5" t="s">
        <v>16</v>
      </c>
      <c r="C7" s="6" t="s">
        <v>17</v>
      </c>
    </row>
    <row r="8" spans="2:3">
      <c r="B8" s="5" t="s">
        <v>18</v>
      </c>
      <c r="C8" s="7">
        <v>200</v>
      </c>
    </row>
    <row r="9" spans="2:3">
      <c r="B9" s="5" t="s">
        <v>19</v>
      </c>
      <c r="C9" s="7">
        <v>160</v>
      </c>
    </row>
    <row r="10" spans="2:3">
      <c r="B10" s="5" t="s">
        <v>20</v>
      </c>
      <c r="C10" s="8">
        <v>24000</v>
      </c>
    </row>
    <row r="11" spans="2:3">
      <c r="B11" s="5" t="s">
        <v>21</v>
      </c>
      <c r="C11" s="8">
        <v>450000</v>
      </c>
    </row>
    <row r="12" spans="2:3">
      <c r="B12" s="5" t="s">
        <v>22</v>
      </c>
      <c r="C12" s="8">
        <v>850000</v>
      </c>
    </row>
    <row r="13" spans="2:3">
      <c r="B13" s="5" t="s">
        <v>23</v>
      </c>
      <c r="C13" s="8">
        <v>720000</v>
      </c>
    </row>
    <row r="14" spans="2:3">
      <c r="B14" s="5" t="s">
        <v>24</v>
      </c>
      <c r="C14" s="9">
        <v>0.05</v>
      </c>
    </row>
    <row r="15" spans="2:3">
      <c r="B15" s="5" t="s">
        <v>25</v>
      </c>
      <c r="C15" s="9">
        <v>0.05</v>
      </c>
    </row>
    <row r="16" spans="2:3">
      <c r="B16" s="5" t="s">
        <v>26</v>
      </c>
      <c r="C16" s="8">
        <v>200000</v>
      </c>
    </row>
    <row r="17" spans="2:3">
      <c r="B17" s="5" t="s">
        <v>27</v>
      </c>
      <c r="C17" s="7">
        <v>14</v>
      </c>
    </row>
    <row r="18" spans="2:3">
      <c r="B18" s="5" t="s">
        <v>28</v>
      </c>
      <c r="C18" s="9">
        <v>0.5</v>
      </c>
    </row>
    <row r="19" spans="2:3">
      <c r="B19" s="3" t="s">
        <v>29</v>
      </c>
      <c r="C19" s="3"/>
    </row>
    <row r="20" spans="2:3">
      <c r="B20" s="5" t="s">
        <v>30</v>
      </c>
      <c r="C20" s="10">
        <f>r_renovated*r_budget_per_unit</f>
        <v>0</v>
      </c>
    </row>
    <row r="21" spans="2:3">
      <c r="B21" s="5" t="s">
        <v>31</v>
      </c>
      <c r="C21" s="10">
        <f>r_unit_total+r_common_area+r_exterior</f>
        <v>0</v>
      </c>
    </row>
    <row r="22" spans="2:3">
      <c r="B22" s="5" t="s">
        <v>32</v>
      </c>
      <c r="C22" s="11">
        <f>r_hard_subtotal*r_hard_contingency_pct</f>
        <v>0</v>
      </c>
    </row>
    <row r="23" spans="2:3">
      <c r="B23" s="5" t="s">
        <v>33</v>
      </c>
      <c r="C23" s="11">
        <f>r_soft*r_soft_contingency_pct</f>
        <v>0</v>
      </c>
    </row>
    <row r="24" spans="2:3">
      <c r="B24" s="5" t="s">
        <v>34</v>
      </c>
      <c r="C24" s="10">
        <f>C22+C23+r_owner_contingency</f>
        <v>0</v>
      </c>
    </row>
    <row r="25" spans="2:3">
      <c r="B25" s="5" t="s">
        <v>35</v>
      </c>
      <c r="C25" s="12">
        <f>r_hard_subtotal+r_soft+C24</f>
        <v>0</v>
      </c>
    </row>
    <row r="26" spans="2:3">
      <c r="B26" s="5" t="s">
        <v>36</v>
      </c>
      <c r="C26" s="11">
        <f>r_total_budget/r_units</f>
        <v>0</v>
      </c>
    </row>
  </sheetData>
  <mergeCells count="4">
    <mergeCell ref="B2:C2"/>
    <mergeCell ref="B3:C3"/>
    <mergeCell ref="B5:C5"/>
    <mergeCell ref="B19:C19"/>
  </mergeCells>
  <dataValidations count="1">
    <dataValidation type="list" allowBlank="1" showInputMessage="1" promptTitle="Funding split" prompt="Select a common split or enter a custom % directly." sqref="C17">
      <formula1>"50% loan / 50% equity,65% loan / 35% equity,75% loan / 25% equity,80% loan / 20% equity,Custom"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F20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6" width="14.7109375" customWidth="1"/>
  </cols>
  <sheetData>
    <row r="2" spans="2:6">
      <c r="B2" s="1" t="s">
        <v>37</v>
      </c>
      <c r="C2" s="1"/>
      <c r="D2" s="1"/>
      <c r="E2" s="1"/>
      <c r="F2" s="1"/>
    </row>
    <row r="3" spans="2:6">
      <c r="B3" s="2" t="s">
        <v>38</v>
      </c>
      <c r="C3" s="2"/>
      <c r="D3" s="2"/>
      <c r="E3" s="2"/>
      <c r="F3" s="2"/>
    </row>
    <row r="5" spans="2:6">
      <c r="B5" s="13" t="s">
        <v>39</v>
      </c>
      <c r="C5" s="13" t="s">
        <v>40</v>
      </c>
      <c r="D5" s="13" t="s">
        <v>41</v>
      </c>
      <c r="E5" s="13" t="s">
        <v>42</v>
      </c>
      <c r="F5" s="13" t="s">
        <v>43</v>
      </c>
    </row>
    <row r="6" spans="2:6">
      <c r="B6" s="6" t="s">
        <v>44</v>
      </c>
      <c r="C6" s="7">
        <v>160</v>
      </c>
      <c r="D6" s="8">
        <v>3200</v>
      </c>
      <c r="E6" s="11">
        <f>C6*D6</f>
        <v>0</v>
      </c>
      <c r="F6" s="6" t="s">
        <v>45</v>
      </c>
    </row>
    <row r="7" spans="2:6">
      <c r="B7" s="6" t="s">
        <v>46</v>
      </c>
      <c r="C7" s="7">
        <v>160</v>
      </c>
      <c r="D7" s="8">
        <v>1400</v>
      </c>
      <c r="E7" s="11">
        <f>C7*D7</f>
        <v>0</v>
      </c>
      <c r="F7" s="6" t="s">
        <v>47</v>
      </c>
    </row>
    <row r="8" spans="2:6">
      <c r="B8" s="6" t="s">
        <v>48</v>
      </c>
      <c r="C8" s="7">
        <v>160</v>
      </c>
      <c r="D8" s="8">
        <v>4500</v>
      </c>
      <c r="E8" s="11">
        <f>C8*D8</f>
        <v>0</v>
      </c>
      <c r="F8" s="6" t="s">
        <v>49</v>
      </c>
    </row>
    <row r="9" spans="2:6">
      <c r="B9" s="6" t="s">
        <v>50</v>
      </c>
      <c r="C9" s="7">
        <v>160</v>
      </c>
      <c r="D9" s="8">
        <v>2100</v>
      </c>
      <c r="E9" s="11">
        <f>C9*D9</f>
        <v>0</v>
      </c>
      <c r="F9" s="6" t="s">
        <v>51</v>
      </c>
    </row>
    <row r="10" spans="2:6">
      <c r="B10" s="6" t="s">
        <v>52</v>
      </c>
      <c r="C10" s="7">
        <v>160</v>
      </c>
      <c r="D10" s="8">
        <v>2400</v>
      </c>
      <c r="E10" s="11">
        <f>C10*D10</f>
        <v>0</v>
      </c>
      <c r="F10" s="6" t="s">
        <v>53</v>
      </c>
    </row>
    <row r="11" spans="2:6">
      <c r="B11" s="6" t="s">
        <v>54</v>
      </c>
      <c r="C11" s="7">
        <v>160</v>
      </c>
      <c r="D11" s="8">
        <v>1800</v>
      </c>
      <c r="E11" s="11">
        <f>C11*D11</f>
        <v>0</v>
      </c>
      <c r="F11" s="6" t="s">
        <v>55</v>
      </c>
    </row>
    <row r="12" spans="2:6">
      <c r="B12" s="6" t="s">
        <v>56</v>
      </c>
      <c r="C12" s="7">
        <v>160</v>
      </c>
      <c r="D12" s="8">
        <v>800</v>
      </c>
      <c r="E12" s="11">
        <f>C12*D12</f>
        <v>0</v>
      </c>
      <c r="F12" s="6" t="s">
        <v>57</v>
      </c>
    </row>
    <row r="13" spans="2:6">
      <c r="B13" s="6" t="s">
        <v>58</v>
      </c>
      <c r="C13" s="7">
        <v>160</v>
      </c>
      <c r="D13" s="8">
        <v>600</v>
      </c>
      <c r="E13" s="11">
        <f>C13*D13</f>
        <v>0</v>
      </c>
      <c r="F13" s="6" t="s">
        <v>59</v>
      </c>
    </row>
    <row r="14" spans="2:6">
      <c r="B14" s="6" t="s">
        <v>60</v>
      </c>
      <c r="C14" s="7">
        <v>160</v>
      </c>
      <c r="D14" s="8">
        <v>700</v>
      </c>
      <c r="E14" s="11">
        <f>C14*D14</f>
        <v>0</v>
      </c>
      <c r="F14" s="6" t="s">
        <v>61</v>
      </c>
    </row>
    <row r="15" spans="2:6">
      <c r="B15" s="6" t="s">
        <v>62</v>
      </c>
      <c r="C15" s="7">
        <v>160</v>
      </c>
      <c r="D15" s="8">
        <v>500</v>
      </c>
      <c r="E15" s="11">
        <f>C15*D15</f>
        <v>0</v>
      </c>
      <c r="F15" s="6" t="s">
        <v>63</v>
      </c>
    </row>
    <row r="16" spans="2:6">
      <c r="B16" s="6" t="s">
        <v>64</v>
      </c>
      <c r="C16" s="7">
        <v>160</v>
      </c>
      <c r="D16" s="8">
        <v>1400</v>
      </c>
      <c r="E16" s="11">
        <f>C16*D16</f>
        <v>0</v>
      </c>
      <c r="F16" s="6" t="s">
        <v>65</v>
      </c>
    </row>
    <row r="17" spans="2:6">
      <c r="B17" s="6" t="s">
        <v>66</v>
      </c>
      <c r="C17" s="7">
        <v>160</v>
      </c>
      <c r="D17" s="8">
        <v>600</v>
      </c>
      <c r="E17" s="11">
        <f>C17*D17</f>
        <v>0</v>
      </c>
      <c r="F17" s="6" t="s">
        <v>67</v>
      </c>
    </row>
    <row r="18" spans="2:6">
      <c r="B18" s="6" t="s">
        <v>68</v>
      </c>
      <c r="C18" s="7">
        <v>160</v>
      </c>
      <c r="D18" s="8">
        <v>400</v>
      </c>
      <c r="E18" s="11">
        <f>C18*D18</f>
        <v>0</v>
      </c>
      <c r="F18" s="6" t="s">
        <v>69</v>
      </c>
    </row>
    <row r="19" spans="2:6">
      <c r="B19" s="6" t="s">
        <v>70</v>
      </c>
      <c r="C19" s="7">
        <v>160</v>
      </c>
      <c r="D19" s="8">
        <v>1300</v>
      </c>
      <c r="E19" s="11">
        <f>C19*D19</f>
        <v>0</v>
      </c>
      <c r="F19" s="6" t="s">
        <v>71</v>
      </c>
    </row>
    <row r="20" spans="2:6">
      <c r="B20" s="5" t="s">
        <v>72</v>
      </c>
      <c r="E20" s="12">
        <f>SUM(E6:E19)</f>
        <v>0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D1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4" width="16.7109375" customWidth="1"/>
  </cols>
  <sheetData>
    <row r="2" spans="2:4">
      <c r="B2" s="1" t="s">
        <v>73</v>
      </c>
      <c r="C2" s="1"/>
      <c r="D2" s="1"/>
    </row>
    <row r="5" spans="2:4">
      <c r="B5" s="13" t="s">
        <v>39</v>
      </c>
      <c r="C5" s="13" t="s">
        <v>74</v>
      </c>
      <c r="D5" s="13" t="s">
        <v>43</v>
      </c>
    </row>
    <row r="6" spans="2:4">
      <c r="B6" s="6" t="s">
        <v>75</v>
      </c>
      <c r="C6" s="8">
        <v>180000</v>
      </c>
      <c r="D6" s="6"/>
    </row>
    <row r="7" spans="2:4">
      <c r="B7" s="6" t="s">
        <v>76</v>
      </c>
      <c r="C7" s="8">
        <v>120000</v>
      </c>
      <c r="D7" s="6"/>
    </row>
    <row r="8" spans="2:4">
      <c r="B8" s="6" t="s">
        <v>77</v>
      </c>
      <c r="C8" s="8">
        <v>90000</v>
      </c>
      <c r="D8" s="6"/>
    </row>
    <row r="9" spans="2:4">
      <c r="B9" s="6" t="s">
        <v>78</v>
      </c>
      <c r="C9" s="8">
        <v>40000</v>
      </c>
      <c r="D9" s="6"/>
    </row>
    <row r="10" spans="2:4">
      <c r="B10" s="6" t="s">
        <v>79</v>
      </c>
      <c r="C10" s="8">
        <v>20000</v>
      </c>
      <c r="D10" s="6"/>
    </row>
    <row r="11" spans="2:4">
      <c r="B11" s="5" t="s">
        <v>72</v>
      </c>
      <c r="C11" s="12">
        <f>SUM(C6:C10)</f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D1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4" width="16.7109375" customWidth="1"/>
  </cols>
  <sheetData>
    <row r="2" spans="2:4">
      <c r="B2" s="1" t="s">
        <v>80</v>
      </c>
      <c r="C2" s="1"/>
      <c r="D2" s="1"/>
    </row>
    <row r="5" spans="2:4">
      <c r="B5" s="13" t="s">
        <v>39</v>
      </c>
      <c r="C5" s="13" t="s">
        <v>74</v>
      </c>
      <c r="D5" s="13" t="s">
        <v>43</v>
      </c>
    </row>
    <row r="6" spans="2:4">
      <c r="B6" s="6" t="s">
        <v>81</v>
      </c>
      <c r="C6" s="8">
        <v>320000</v>
      </c>
      <c r="D6" s="6"/>
    </row>
    <row r="7" spans="2:4">
      <c r="B7" s="6" t="s">
        <v>82</v>
      </c>
      <c r="C7" s="8">
        <v>240000</v>
      </c>
      <c r="D7" s="6"/>
    </row>
    <row r="8" spans="2:4">
      <c r="B8" s="6" t="s">
        <v>83</v>
      </c>
      <c r="C8" s="8">
        <v>110000</v>
      </c>
      <c r="D8" s="6"/>
    </row>
    <row r="9" spans="2:4">
      <c r="B9" s="6" t="s">
        <v>84</v>
      </c>
      <c r="C9" s="8">
        <v>60000</v>
      </c>
      <c r="D9" s="6"/>
    </row>
    <row r="10" spans="2:4">
      <c r="B10" s="6" t="s">
        <v>85</v>
      </c>
      <c r="C10" s="8">
        <v>80000</v>
      </c>
      <c r="D10" s="6"/>
    </row>
    <row r="11" spans="2:4">
      <c r="B11" s="6" t="s">
        <v>86</v>
      </c>
      <c r="C11" s="8">
        <v>40000</v>
      </c>
      <c r="D11" s="6"/>
    </row>
    <row r="12" spans="2:4">
      <c r="B12" s="5" t="s">
        <v>72</v>
      </c>
      <c r="C12" s="12">
        <f>SUM(C6:C11)</f>
        <v>0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D14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4" width="16.7109375" customWidth="1"/>
  </cols>
  <sheetData>
    <row r="2" spans="2:4">
      <c r="B2" s="1" t="s">
        <v>87</v>
      </c>
      <c r="C2" s="1"/>
      <c r="D2" s="1"/>
    </row>
    <row r="5" spans="2:4">
      <c r="B5" s="13" t="s">
        <v>39</v>
      </c>
      <c r="C5" s="13" t="s">
        <v>74</v>
      </c>
      <c r="D5" s="13" t="s">
        <v>43</v>
      </c>
    </row>
    <row r="6" spans="2:4">
      <c r="B6" s="6" t="s">
        <v>88</v>
      </c>
      <c r="C6" s="8">
        <v>120000</v>
      </c>
      <c r="D6" s="6"/>
    </row>
    <row r="7" spans="2:4">
      <c r="B7" s="6" t="s">
        <v>89</v>
      </c>
      <c r="C7" s="8">
        <v>80000</v>
      </c>
      <c r="D7" s="6"/>
    </row>
    <row r="8" spans="2:4">
      <c r="B8" s="6" t="s">
        <v>90</v>
      </c>
      <c r="C8" s="8">
        <v>130000</v>
      </c>
      <c r="D8" s="6"/>
    </row>
    <row r="9" spans="2:4">
      <c r="B9" s="6" t="s">
        <v>91</v>
      </c>
      <c r="C9" s="8">
        <v>60000</v>
      </c>
      <c r="D9" s="6"/>
    </row>
    <row r="10" spans="2:4">
      <c r="B10" s="6" t="s">
        <v>92</v>
      </c>
      <c r="C10" s="8">
        <v>110000</v>
      </c>
      <c r="D10" s="6"/>
    </row>
    <row r="11" spans="2:4">
      <c r="B11" s="6" t="s">
        <v>93</v>
      </c>
      <c r="C11" s="8">
        <v>130000</v>
      </c>
      <c r="D11" s="6"/>
    </row>
    <row r="12" spans="2:4">
      <c r="B12" s="6" t="s">
        <v>94</v>
      </c>
      <c r="C12" s="8">
        <v>50000</v>
      </c>
      <c r="D12" s="6"/>
    </row>
    <row r="13" spans="2:4">
      <c r="B13" s="6" t="s">
        <v>95</v>
      </c>
      <c r="C13" s="8">
        <v>40000</v>
      </c>
      <c r="D13" s="6"/>
    </row>
    <row r="14" spans="2:4">
      <c r="B14" s="5" t="s">
        <v>72</v>
      </c>
      <c r="C14" s="12">
        <f>SUM(C6:C13)</f>
        <v>0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6E1E2F"/>
  </sheetPr>
  <dimension ref="B2:D2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8.7109375" customWidth="1"/>
    <col min="4" max="4" width="30.7109375" customWidth="1"/>
  </cols>
  <sheetData>
    <row r="2" spans="2:4">
      <c r="B2" s="1" t="s">
        <v>96</v>
      </c>
      <c r="C2" s="1"/>
      <c r="D2" s="1"/>
    </row>
    <row r="3" spans="2:4">
      <c r="B3" s="2" t="s">
        <v>97</v>
      </c>
      <c r="C3" s="2"/>
      <c r="D3" s="2"/>
    </row>
    <row r="5" spans="2:4">
      <c r="B5" s="3" t="s">
        <v>98</v>
      </c>
      <c r="C5" s="3"/>
      <c r="D5" s="3"/>
    </row>
    <row r="6" spans="2:4">
      <c r="B6" s="5" t="s">
        <v>99</v>
      </c>
      <c r="C6" s="10">
        <f>r_hard_subtotal*r_hard_contingency_pct</f>
        <v>0</v>
      </c>
    </row>
    <row r="7" spans="2:4">
      <c r="B7" s="5" t="s">
        <v>100</v>
      </c>
      <c r="C7" s="10">
        <f>r_soft*r_soft_contingency_pct</f>
        <v>0</v>
      </c>
    </row>
    <row r="8" spans="2:4">
      <c r="B8" s="5" t="s">
        <v>101</v>
      </c>
      <c r="C8" s="10">
        <f>r_owner_contingency</f>
        <v>0</v>
      </c>
    </row>
    <row r="9" spans="2:4">
      <c r="B9" s="5" t="s">
        <v>102</v>
      </c>
      <c r="C9" s="10">
        <f>C6+C7+C8</f>
        <v>0</v>
      </c>
    </row>
    <row r="11" spans="2:4">
      <c r="B11" s="3" t="s">
        <v>103</v>
      </c>
      <c r="C11" s="3"/>
      <c r="D11" s="3"/>
    </row>
    <row r="12" spans="2:4">
      <c r="B12" s="13" t="s">
        <v>104</v>
      </c>
      <c r="C12" s="13" t="s">
        <v>74</v>
      </c>
      <c r="D12" s="13" t="s">
        <v>105</v>
      </c>
    </row>
    <row r="13" spans="2:4">
      <c r="B13" s="6"/>
      <c r="C13" s="8"/>
      <c r="D13" s="6"/>
    </row>
    <row r="14" spans="2:4">
      <c r="B14" s="6"/>
      <c r="C14" s="8"/>
      <c r="D14" s="6"/>
    </row>
    <row r="15" spans="2:4">
      <c r="B15" s="6"/>
      <c r="C15" s="8"/>
      <c r="D15" s="6"/>
    </row>
    <row r="16" spans="2:4">
      <c r="B16" s="6"/>
      <c r="C16" s="8"/>
      <c r="D16" s="6"/>
    </row>
    <row r="17" spans="2:4">
      <c r="B17" s="6"/>
      <c r="C17" s="8"/>
      <c r="D17" s="6"/>
    </row>
    <row r="18" spans="2:4">
      <c r="B18" s="6"/>
      <c r="C18" s="8"/>
      <c r="D18" s="6"/>
    </row>
    <row r="19" spans="2:4">
      <c r="B19" s="6"/>
      <c r="C19" s="8"/>
      <c r="D19" s="6"/>
    </row>
    <row r="20" spans="2:4">
      <c r="B20" s="6"/>
      <c r="C20" s="8"/>
      <c r="D20" s="6"/>
    </row>
    <row r="21" spans="2:4">
      <c r="B21" s="6"/>
      <c r="C21" s="8"/>
      <c r="D21" s="6"/>
    </row>
    <row r="22" spans="2:4">
      <c r="B22" s="6"/>
      <c r="C22" s="8"/>
      <c r="D22" s="6"/>
    </row>
  </sheetData>
  <mergeCells count="4">
    <mergeCell ref="B2:D2"/>
    <mergeCell ref="B3:D3"/>
    <mergeCell ref="B5:D5"/>
    <mergeCell ref="B11:D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G19"/>
  <sheetViews>
    <sheetView showGridLines="0" workbookViewId="0"/>
  </sheetViews>
  <sheetFormatPr defaultRowHeight="15"/>
  <cols>
    <col min="1" max="1" width="2.7109375" customWidth="1"/>
    <col min="2" max="7" width="14.7109375" customWidth="1"/>
  </cols>
  <sheetData>
    <row r="2" spans="2:7">
      <c r="B2" s="1" t="s">
        <v>106</v>
      </c>
      <c r="C2" s="1"/>
      <c r="D2" s="1"/>
      <c r="E2" s="1"/>
      <c r="F2" s="1"/>
      <c r="G2" s="1"/>
    </row>
    <row r="3" spans="2:7">
      <c r="B3" s="2" t="s">
        <v>107</v>
      </c>
      <c r="C3" s="2"/>
      <c r="D3" s="2"/>
      <c r="E3" s="2"/>
      <c r="F3" s="2"/>
      <c r="G3" s="2"/>
    </row>
    <row r="5" spans="2:7">
      <c r="B5" s="13" t="s">
        <v>108</v>
      </c>
      <c r="C5" s="13" t="s">
        <v>109</v>
      </c>
      <c r="D5" s="13" t="s">
        <v>110</v>
      </c>
      <c r="E5" s="13" t="s">
        <v>111</v>
      </c>
      <c r="F5" s="13" t="s">
        <v>112</v>
      </c>
      <c r="G5" s="13" t="s">
        <v>43</v>
      </c>
    </row>
    <row r="6" spans="2:7">
      <c r="B6" s="4" t="s">
        <v>113</v>
      </c>
      <c r="C6" s="11">
        <f>r_total_budget*0.05</f>
        <v>0</v>
      </c>
      <c r="D6" s="8"/>
      <c r="E6" s="11">
        <f>D6</f>
        <v>0</v>
      </c>
      <c r="F6" s="11">
        <f>r_total_budget-E6</f>
        <v>0</v>
      </c>
      <c r="G6" s="6"/>
    </row>
    <row r="7" spans="2:7">
      <c r="B7" s="4" t="s">
        <v>114</v>
      </c>
      <c r="C7" s="11">
        <f>r_total_budget*0.08</f>
        <v>0</v>
      </c>
      <c r="D7" s="8"/>
      <c r="E7" s="11">
        <f>E6+D7</f>
        <v>0</v>
      </c>
      <c r="F7" s="11">
        <f>r_total_budget-E7</f>
        <v>0</v>
      </c>
      <c r="G7" s="6"/>
    </row>
    <row r="8" spans="2:7">
      <c r="B8" s="4" t="s">
        <v>115</v>
      </c>
      <c r="C8" s="11">
        <f>r_total_budget*0.12</f>
        <v>0</v>
      </c>
      <c r="D8" s="8"/>
      <c r="E8" s="11">
        <f>E7+D8</f>
        <v>0</v>
      </c>
      <c r="F8" s="11">
        <f>r_total_budget-E8</f>
        <v>0</v>
      </c>
      <c r="G8" s="6"/>
    </row>
    <row r="9" spans="2:7">
      <c r="B9" s="4" t="s">
        <v>116</v>
      </c>
      <c r="C9" s="11">
        <f>r_total_budget*0.14</f>
        <v>0</v>
      </c>
      <c r="D9" s="8"/>
      <c r="E9" s="11">
        <f>E8+D9</f>
        <v>0</v>
      </c>
      <c r="F9" s="11">
        <f>r_total_budget-E9</f>
        <v>0</v>
      </c>
      <c r="G9" s="6"/>
    </row>
    <row r="10" spans="2:7">
      <c r="B10" s="4" t="s">
        <v>117</v>
      </c>
      <c r="C10" s="11">
        <f>r_total_budget*0.12</f>
        <v>0</v>
      </c>
      <c r="D10" s="8"/>
      <c r="E10" s="11">
        <f>E9+D10</f>
        <v>0</v>
      </c>
      <c r="F10" s="11">
        <f>r_total_budget-E10</f>
        <v>0</v>
      </c>
      <c r="G10" s="6"/>
    </row>
    <row r="11" spans="2:7">
      <c r="B11" s="4" t="s">
        <v>118</v>
      </c>
      <c r="C11" s="11">
        <f>r_total_budget*0.1</f>
        <v>0</v>
      </c>
      <c r="D11" s="8"/>
      <c r="E11" s="11">
        <f>E10+D11</f>
        <v>0</v>
      </c>
      <c r="F11" s="11">
        <f>r_total_budget-E11</f>
        <v>0</v>
      </c>
      <c r="G11" s="6"/>
    </row>
    <row r="12" spans="2:7">
      <c r="B12" s="4" t="s">
        <v>119</v>
      </c>
      <c r="C12" s="11">
        <f>r_total_budget*0.1</f>
        <v>0</v>
      </c>
      <c r="D12" s="8"/>
      <c r="E12" s="11">
        <f>E11+D12</f>
        <v>0</v>
      </c>
      <c r="F12" s="11">
        <f>r_total_budget-E12</f>
        <v>0</v>
      </c>
      <c r="G12" s="6"/>
    </row>
    <row r="13" spans="2:7">
      <c r="B13" s="4" t="s">
        <v>120</v>
      </c>
      <c r="C13" s="11">
        <f>r_total_budget*0.08</f>
        <v>0</v>
      </c>
      <c r="D13" s="8"/>
      <c r="E13" s="11">
        <f>E12+D13</f>
        <v>0</v>
      </c>
      <c r="F13" s="11">
        <f>r_total_budget-E13</f>
        <v>0</v>
      </c>
      <c r="G13" s="6"/>
    </row>
    <row r="14" spans="2:7">
      <c r="B14" s="4" t="s">
        <v>121</v>
      </c>
      <c r="C14" s="11">
        <f>r_total_budget*0.08</f>
        <v>0</v>
      </c>
      <c r="D14" s="8"/>
      <c r="E14" s="11">
        <f>E13+D14</f>
        <v>0</v>
      </c>
      <c r="F14" s="11">
        <f>r_total_budget-E14</f>
        <v>0</v>
      </c>
      <c r="G14" s="6"/>
    </row>
    <row r="15" spans="2:7">
      <c r="B15" s="4" t="s">
        <v>122</v>
      </c>
      <c r="C15" s="11">
        <f>r_total_budget*0.06</f>
        <v>0</v>
      </c>
      <c r="D15" s="8"/>
      <c r="E15" s="11">
        <f>E14+D15</f>
        <v>0</v>
      </c>
      <c r="F15" s="11">
        <f>r_total_budget-E15</f>
        <v>0</v>
      </c>
      <c r="G15" s="6"/>
    </row>
    <row r="16" spans="2:7">
      <c r="B16" s="4" t="s">
        <v>123</v>
      </c>
      <c r="C16" s="11">
        <f>r_total_budget*0.04</f>
        <v>0</v>
      </c>
      <c r="D16" s="8"/>
      <c r="E16" s="11">
        <f>E15+D16</f>
        <v>0</v>
      </c>
      <c r="F16" s="11">
        <f>r_total_budget-E16</f>
        <v>0</v>
      </c>
      <c r="G16" s="6"/>
    </row>
    <row r="17" spans="2:7">
      <c r="B17" s="4" t="s">
        <v>124</v>
      </c>
      <c r="C17" s="11">
        <f>r_total_budget*0.02</f>
        <v>0</v>
      </c>
      <c r="D17" s="8"/>
      <c r="E17" s="11">
        <f>E16+D17</f>
        <v>0</v>
      </c>
      <c r="F17" s="11">
        <f>r_total_budget-E17</f>
        <v>0</v>
      </c>
      <c r="G17" s="6"/>
    </row>
    <row r="18" spans="2:7">
      <c r="B18" s="4" t="s">
        <v>125</v>
      </c>
      <c r="C18" s="11">
        <f>r_total_budget*0.01</f>
        <v>0</v>
      </c>
      <c r="D18" s="8"/>
      <c r="E18" s="11">
        <f>E17+D18</f>
        <v>0</v>
      </c>
      <c r="F18" s="11">
        <f>r_total_budget-E18</f>
        <v>0</v>
      </c>
      <c r="G18" s="6"/>
    </row>
    <row r="19" spans="2:7">
      <c r="B19" s="4" t="s">
        <v>126</v>
      </c>
      <c r="C19" s="11">
        <f>r_total_budget*0.0</f>
        <v>0</v>
      </c>
      <c r="D19" s="8"/>
      <c r="E19" s="11">
        <f>E18+D19</f>
        <v>0</v>
      </c>
      <c r="F19" s="11">
        <f>r_total_budget-E19</f>
        <v>0</v>
      </c>
      <c r="G19" s="6"/>
    </row>
  </sheetData>
  <mergeCells count="2">
    <mergeCell ref="B2:G2"/>
    <mergeCell ref="B3:G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E1E2F"/>
  </sheetPr>
  <dimension ref="B2:F20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5" width="14.7109375" customWidth="1"/>
    <col min="6" max="6" width="30.7109375" customWidth="1"/>
  </cols>
  <sheetData>
    <row r="2" spans="2:6">
      <c r="B2" s="1" t="s">
        <v>127</v>
      </c>
      <c r="C2" s="1"/>
      <c r="D2" s="1"/>
      <c r="E2" s="1"/>
      <c r="F2" s="1"/>
    </row>
    <row r="3" spans="2:6">
      <c r="B3" s="2" t="s">
        <v>128</v>
      </c>
      <c r="C3" s="2"/>
      <c r="D3" s="2"/>
      <c r="E3" s="2"/>
      <c r="F3" s="2"/>
    </row>
    <row r="5" spans="2:6">
      <c r="B5" s="13" t="s">
        <v>129</v>
      </c>
      <c r="C5" s="13" t="s">
        <v>130</v>
      </c>
      <c r="D5" s="13" t="s">
        <v>131</v>
      </c>
      <c r="E5" s="13" t="s">
        <v>132</v>
      </c>
      <c r="F5" s="13" t="s">
        <v>133</v>
      </c>
    </row>
    <row r="6" spans="2:6">
      <c r="B6" s="6"/>
      <c r="C6" s="8"/>
      <c r="D6" s="8"/>
      <c r="E6" s="8"/>
      <c r="F6" s="6"/>
    </row>
    <row r="7" spans="2:6">
      <c r="B7" s="6"/>
      <c r="C7" s="8"/>
      <c r="D7" s="8"/>
      <c r="E7" s="8"/>
      <c r="F7" s="6"/>
    </row>
    <row r="8" spans="2:6">
      <c r="B8" s="6"/>
      <c r="C8" s="8"/>
      <c r="D8" s="8"/>
      <c r="E8" s="8"/>
      <c r="F8" s="6"/>
    </row>
    <row r="9" spans="2:6">
      <c r="B9" s="6"/>
      <c r="C9" s="8"/>
      <c r="D9" s="8"/>
      <c r="E9" s="8"/>
      <c r="F9" s="6"/>
    </row>
    <row r="10" spans="2:6">
      <c r="B10" s="6"/>
      <c r="C10" s="8"/>
      <c r="D10" s="8"/>
      <c r="E10" s="8"/>
      <c r="F10" s="6"/>
    </row>
    <row r="11" spans="2:6">
      <c r="B11" s="6"/>
      <c r="C11" s="8"/>
      <c r="D11" s="8"/>
      <c r="E11" s="8"/>
      <c r="F11" s="6"/>
    </row>
    <row r="12" spans="2:6">
      <c r="B12" s="6"/>
      <c r="C12" s="8"/>
      <c r="D12" s="8"/>
      <c r="E12" s="8"/>
      <c r="F12" s="6"/>
    </row>
    <row r="13" spans="2:6">
      <c r="B13" s="6"/>
      <c r="C13" s="8"/>
      <c r="D13" s="8"/>
      <c r="E13" s="8"/>
      <c r="F13" s="6"/>
    </row>
    <row r="14" spans="2:6">
      <c r="B14" s="6"/>
      <c r="C14" s="8"/>
      <c r="D14" s="8"/>
      <c r="E14" s="8"/>
      <c r="F14" s="6"/>
    </row>
    <row r="15" spans="2:6">
      <c r="B15" s="6"/>
      <c r="C15" s="8"/>
      <c r="D15" s="8"/>
      <c r="E15" s="8"/>
      <c r="F15" s="6"/>
    </row>
    <row r="16" spans="2:6">
      <c r="B16" s="6"/>
      <c r="C16" s="8"/>
      <c r="D16" s="8"/>
      <c r="E16" s="8"/>
      <c r="F16" s="6"/>
    </row>
    <row r="17" spans="2:6">
      <c r="B17" s="6"/>
      <c r="C17" s="8"/>
      <c r="D17" s="8"/>
      <c r="E17" s="8"/>
      <c r="F17" s="6"/>
    </row>
    <row r="18" spans="2:6">
      <c r="B18" s="6"/>
      <c r="C18" s="8"/>
      <c r="D18" s="8"/>
      <c r="E18" s="8"/>
      <c r="F18" s="6"/>
    </row>
    <row r="19" spans="2:6">
      <c r="B19" s="6"/>
      <c r="C19" s="8"/>
      <c r="D19" s="8"/>
      <c r="E19" s="8"/>
      <c r="F19" s="6"/>
    </row>
    <row r="20" spans="2:6">
      <c r="B20" s="6"/>
      <c r="C20" s="8"/>
      <c r="D20" s="8"/>
      <c r="E20" s="8"/>
      <c r="F20" s="6"/>
    </row>
  </sheetData>
  <mergeCells count="2"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Instructions</vt:lpstr>
      <vt:lpstr>Project Summary</vt:lpstr>
      <vt:lpstr>Unit Renovation</vt:lpstr>
      <vt:lpstr>Common Area</vt:lpstr>
      <vt:lpstr>Exterior</vt:lpstr>
      <vt:lpstr>Soft Costs</vt:lpstr>
      <vt:lpstr>Contingency</vt:lpstr>
      <vt:lpstr>Draw Schedule</vt:lpstr>
      <vt:lpstr>Variance</vt:lpstr>
      <vt:lpstr>Cost Overrun</vt:lpstr>
      <vt:lpstr>Lender Summary</vt:lpstr>
      <vt:lpstr>Budget Rollup</vt:lpstr>
      <vt:lpstr>'Budget Rollup'!Print_Area</vt:lpstr>
      <vt:lpstr>'Lender Summary'!Print_Area</vt:lpstr>
      <vt:lpstr>r_budget_per_unit</vt:lpstr>
      <vt:lpstr>r_common_area</vt:lpstr>
      <vt:lpstr>r_exterior</vt:lpstr>
      <vt:lpstr>r_hard_contingency_pct</vt:lpstr>
      <vt:lpstr>r_hard_subtotal</vt:lpstr>
      <vt:lpstr>r_loan_pct</vt:lpstr>
      <vt:lpstr>r_months</vt:lpstr>
      <vt:lpstr>r_name</vt:lpstr>
      <vt:lpstr>r_owner_contingency</vt:lpstr>
      <vt:lpstr>r_renovated</vt:lpstr>
      <vt:lpstr>r_soft</vt:lpstr>
      <vt:lpstr>r_soft_contingency_pct</vt:lpstr>
      <vt:lpstr>r_total_budget</vt:lpstr>
      <vt:lpstr>r_unit_total</vt:lpstr>
      <vt:lpstr>r_units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2026-05-29T23:25:34Z</dcterms:created>
  <dcterms:modified xsi:type="dcterms:W3CDTF">2026-05-29T23:25:34Z</dcterms:modified>
</cp:coreProperties>
</file>