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 firstSheet="2" activeTab="1"/>
  </bookViews>
  <sheets>
    <sheet name="Presets" sheetId="1" state="hidden" r:id="rId1"/>
    <sheet name="Instructions" sheetId="2" r:id="rId2"/>
    <sheet name="Base Inputs" sheetId="3" r:id="rId3"/>
    <sheet name="Valuation" sheetId="4" r:id="rId4"/>
    <sheet name="Loan Sizing" sheetId="5" r:id="rId5"/>
    <sheet name="Returns" sheetId="6" r:id="rId6"/>
    <sheet name="Construction Risk" sheetId="7" r:id="rId7"/>
    <sheet name="Refi Exit" sheetId="8" r:id="rId8"/>
    <sheet name="IC Output" sheetId="9" r:id="rId9"/>
  </sheets>
  <definedNames>
    <definedName name="preset_1_amort">'Presets'!$B$8</definedName>
    <definedName name="preset_1_dscr_min">'Presets'!$B$9</definedName>
    <definedName name="preset_1_dy_min">'Presets'!$B$10</definedName>
    <definedName name="preset_1_equity">'Presets'!$B$17</definedName>
    <definedName name="preset_1_exit_cap">'Presets'!$B$4</definedName>
    <definedName name="preset_1_expense_growth">'Presets'!$B$14</definedName>
    <definedName name="preset_1_hold_years">'Presets'!$B$16</definedName>
    <definedName name="preset_1_loan">'Presets'!$B$6</definedName>
    <definedName name="preset_1_ltc_max">'Presets'!$B$12</definedName>
    <definedName name="preset_1_ltv_max">'Presets'!$B$11</definedName>
    <definedName name="preset_1_noi">'Presets'!$B$2</definedName>
    <definedName name="preset_1_rate">'Presets'!$B$7</definedName>
    <definedName name="preset_1_rent_growth">'Presets'!$B$13</definedName>
    <definedName name="preset_1_sale_costs">'Presets'!$B$18</definedName>
    <definedName name="preset_1_stab_cap">'Presets'!$B$3</definedName>
    <definedName name="preset_1_tpc">'Presets'!$B$5</definedName>
    <definedName name="preset_1_vacancy">'Presets'!$B$15</definedName>
    <definedName name="preset_2_amort">'Presets'!$C$8</definedName>
    <definedName name="preset_2_dscr_min">'Presets'!$C$9</definedName>
    <definedName name="preset_2_dy_min">'Presets'!$C$10</definedName>
    <definedName name="preset_2_equity">'Presets'!$C$17</definedName>
    <definedName name="preset_2_exit_cap">'Presets'!$C$4</definedName>
    <definedName name="preset_2_expense_growth">'Presets'!$C$14</definedName>
    <definedName name="preset_2_hold_years">'Presets'!$C$16</definedName>
    <definedName name="preset_2_loan">'Presets'!$C$6</definedName>
    <definedName name="preset_2_ltc_max">'Presets'!$C$12</definedName>
    <definedName name="preset_2_ltv_max">'Presets'!$C$11</definedName>
    <definedName name="preset_2_noi">'Presets'!$C$2</definedName>
    <definedName name="preset_2_rate">'Presets'!$C$7</definedName>
    <definedName name="preset_2_rent_growth">'Presets'!$C$13</definedName>
    <definedName name="preset_2_sale_costs">'Presets'!$C$18</definedName>
    <definedName name="preset_2_stab_cap">'Presets'!$C$3</definedName>
    <definedName name="preset_2_tpc">'Presets'!$C$5</definedName>
    <definedName name="preset_2_vacancy">'Presets'!$C$15</definedName>
    <definedName name="preset_3_amort">'Presets'!$D$8</definedName>
    <definedName name="preset_3_dscr_min">'Presets'!$D$9</definedName>
    <definedName name="preset_3_dy_min">'Presets'!$D$10</definedName>
    <definedName name="preset_3_equity">'Presets'!$D$17</definedName>
    <definedName name="preset_3_exit_cap">'Presets'!$D$4</definedName>
    <definedName name="preset_3_expense_growth">'Presets'!$D$14</definedName>
    <definedName name="preset_3_hold_years">'Presets'!$D$16</definedName>
    <definedName name="preset_3_loan">'Presets'!$D$6</definedName>
    <definedName name="preset_3_ltc_max">'Presets'!$D$12</definedName>
    <definedName name="preset_3_ltv_max">'Presets'!$D$11</definedName>
    <definedName name="preset_3_noi">'Presets'!$D$2</definedName>
    <definedName name="preset_3_rate">'Presets'!$D$7</definedName>
    <definedName name="preset_3_rent_growth">'Presets'!$D$13</definedName>
    <definedName name="preset_3_sale_costs">'Presets'!$D$18</definedName>
    <definedName name="preset_3_stab_cap">'Presets'!$D$3</definedName>
    <definedName name="preset_3_tpc">'Presets'!$D$5</definedName>
    <definedName name="preset_3_vacancy">'Presets'!$D$15</definedName>
    <definedName name="preset_4_amort">'Presets'!$E$8</definedName>
    <definedName name="preset_4_dscr_min">'Presets'!$E$9</definedName>
    <definedName name="preset_4_dy_min">'Presets'!$E$10</definedName>
    <definedName name="preset_4_equity">'Presets'!$E$17</definedName>
    <definedName name="preset_4_exit_cap">'Presets'!$E$4</definedName>
    <definedName name="preset_4_expense_growth">'Presets'!$E$14</definedName>
    <definedName name="preset_4_hold_years">'Presets'!$E$16</definedName>
    <definedName name="preset_4_loan">'Presets'!$E$6</definedName>
    <definedName name="preset_4_ltc_max">'Presets'!$E$12</definedName>
    <definedName name="preset_4_ltv_max">'Presets'!$E$11</definedName>
    <definedName name="preset_4_noi">'Presets'!$E$2</definedName>
    <definedName name="preset_4_rate">'Presets'!$E$7</definedName>
    <definedName name="preset_4_rent_growth">'Presets'!$E$13</definedName>
    <definedName name="preset_4_sale_costs">'Presets'!$E$18</definedName>
    <definedName name="preset_4_stab_cap">'Presets'!$E$3</definedName>
    <definedName name="preset_4_tpc">'Presets'!$E$5</definedName>
    <definedName name="preset_4_vacancy">'Presets'!$E$15</definedName>
    <definedName name="_xlnm.Print_Area" localSheetId="8">'IC Output'!$A$1:$C$50</definedName>
    <definedName name="sa_amort">'Base Inputs'!$C$17</definedName>
    <definedName name="sa_deal_type">'Base Inputs'!$C$6</definedName>
    <definedName name="sa_dscr_min">'Base Inputs'!$C$18</definedName>
    <definedName name="sa_dy_min">'Base Inputs'!$C$19</definedName>
    <definedName name="sa_equity">'Base Inputs'!$C$26</definedName>
    <definedName name="sa_exit_cap">'Base Inputs'!$C$13</definedName>
    <definedName name="sa_expense_growth">'Base Inputs'!$C$23</definedName>
    <definedName name="sa_hold_years">'Base Inputs'!$C$25</definedName>
    <definedName name="sa_loan">'Base Inputs'!$C$15</definedName>
    <definedName name="sa_ltc_max">'Base Inputs'!$C$21</definedName>
    <definedName name="sa_ltv_max">'Base Inputs'!$C$20</definedName>
    <definedName name="sa_noi">'Base Inputs'!$C$11</definedName>
    <definedName name="sa_rate">'Base Inputs'!$C$16</definedName>
    <definedName name="sa_rent_growth">'Base Inputs'!$C$22</definedName>
    <definedName name="sa_sale_costs">'Base Inputs'!$C$27</definedName>
    <definedName name="sa_stab_cap">'Base Inputs'!$C$12</definedName>
    <definedName name="sa_tpc">'Base Inputs'!$C$14</definedName>
    <definedName name="sa_vacancy">'Base Inputs'!$C$24</definedName>
  </definedNames>
  <calcPr calcId="124519" fullCalcOnLoad="1"/>
</workbook>
</file>

<file path=xl/sharedStrings.xml><?xml version="1.0" encoding="utf-8"?>
<sst xmlns="http://schemas.openxmlformats.org/spreadsheetml/2006/main" count="105" uniqueCount="84">
  <si>
    <t>Input</t>
  </si>
  <si>
    <t>Construction</t>
  </si>
  <si>
    <t>Value-add acquisition</t>
  </si>
  <si>
    <t>Stabilized refi</t>
  </si>
  <si>
    <t>Custom</t>
  </si>
  <si>
    <t>Stabilized NOI</t>
  </si>
  <si>
    <t>Stabilized cap rate</t>
  </si>
  <si>
    <t>Exit cap rate</t>
  </si>
  <si>
    <t>Total project cost</t>
  </si>
  <si>
    <t>Loan amount</t>
  </si>
  <si>
    <t>All-in rate</t>
  </si>
  <si>
    <t>Amortization (months)</t>
  </si>
  <si>
    <t>DSCR threshold</t>
  </si>
  <si>
    <t>Debt yield threshold</t>
  </si>
  <si>
    <t>LTV threshold</t>
  </si>
  <si>
    <t>LTC threshold</t>
  </si>
  <si>
    <t>Rent growth</t>
  </si>
  <si>
    <t>Expense growth</t>
  </si>
  <si>
    <t>Vacancy %</t>
  </si>
  <si>
    <t>Hold period (years)</t>
  </si>
  <si>
    <t>Equity invested</t>
  </si>
  <si>
    <t>Sale costs %</t>
  </si>
  <si>
    <t>Sensitivity Analyses - Instructions</t>
  </si>
  <si>
    <t>Version 1.0</t>
  </si>
  <si>
    <t>HOW TO USE</t>
  </si>
  <si>
    <t xml:space="preserve">  1. Choose a Deal type preset on the Base Inputs tab (dropdown: Construction / Value-add / Stabilized refi / Custom).</t>
  </si>
  <si>
    <t xml:space="preserve">  2. Preset auto-fills all 17 base inputs. Choose Custom to enter values manually.</t>
  </si>
  <si>
    <t xml:space="preserve">  3. Each sensitivity tab runs a 5x5 grid against the base case.</t>
  </si>
  <si>
    <t xml:space="preserve">  4. Conditional formatting: green/yellow/red = strong/acceptable/weak.</t>
  </si>
  <si>
    <t xml:space="preserve">  5. IC Output tab summarizes the most-impactful sensitivities with a scenario comparison chart.</t>
  </si>
  <si>
    <t xml:space="preserve">  6. Edit axis step sizes by changing the header row / column values.</t>
  </si>
  <si>
    <t>Base Inputs</t>
  </si>
  <si>
    <t>Drop your deal in here; the 7 sensitivity tabs read from this single source.</t>
  </si>
  <si>
    <t>DEAL TYPE PRESET</t>
  </si>
  <si>
    <t>Deal type</t>
  </si>
  <si>
    <t>Preset auto-fills all inputs below. Select Custom to enter manually.</t>
  </si>
  <si>
    <t>BASE INPUTS</t>
  </si>
  <si>
    <t>Valuation Sensitivities</t>
  </si>
  <si>
    <t>How does as-stabilized value change with NOI and cap rate?</t>
  </si>
  <si>
    <t>TABLE 1 - NOI x Cap rate -&gt; As-stabilized value</t>
  </si>
  <si>
    <t>Cap \ NOI</t>
  </si>
  <si>
    <t>TABLE 2 - Rent growth x Exit cap -&gt; Exit value (Y5)</t>
  </si>
  <si>
    <t>Exit cap \ Rent grw</t>
  </si>
  <si>
    <t>Loan Sizing Sensitivities</t>
  </si>
  <si>
    <t>Max supportable loan under different rate and DSCR scenarios.</t>
  </si>
  <si>
    <t>TABLE 1 - Rate x DSCR -&gt; Max supportable loan</t>
  </si>
  <si>
    <t>Rate \ DSCR</t>
  </si>
  <si>
    <t>TABLE 2 - DY threshold x Loan amount -&gt; Implied NOI required</t>
  </si>
  <si>
    <t>DY \ Loan</t>
  </si>
  <si>
    <t>Return Sensitivities</t>
  </si>
  <si>
    <t>How sale price + IRR move with exit cap and rent growth.</t>
  </si>
  <si>
    <t>TABLE 1 - Exit cap x Rent growth -&gt; Sale price (Y5)</t>
  </si>
  <si>
    <t>Cap \ Rent grw</t>
  </si>
  <si>
    <t>TABLE 2 - Exit cap x Rent growth -&gt; Equity multiple proxy</t>
  </si>
  <si>
    <t>Note: Multiple proxy = net sale proceeds / equity. Excludes interim cash flows.</t>
  </si>
  <si>
    <t>Construction Risk Sensitivities</t>
  </si>
  <si>
    <t>Cost overrun and contingency cushion.</t>
  </si>
  <si>
    <t>TABLE 1 - Hard cost overrun x Contingency -&gt; Equity rebalance required</t>
  </si>
  <si>
    <t>Conting \ Overrun</t>
  </si>
  <si>
    <t>Refi / Exit Sensitivities</t>
  </si>
  <si>
    <t>Refi proceeds and net to equity at exit.</t>
  </si>
  <si>
    <t>TABLE 1 - Sale value x Loan payoff -&gt; Net to equity</t>
  </si>
  <si>
    <t>Sale \ Payoff</t>
  </si>
  <si>
    <t>IC Output Summary</t>
  </si>
  <si>
    <t>Best / base / downside scenarios. Print landscape.</t>
  </si>
  <si>
    <t>BASE CASE</t>
  </si>
  <si>
    <t>As-stabilized value</t>
  </si>
  <si>
    <t>Exit value (Y5)</t>
  </si>
  <si>
    <t>Debt yield</t>
  </si>
  <si>
    <t>DSCR</t>
  </si>
  <si>
    <t>DOWNSIDE CASE (exit cap +50 bps, rent growth -100 bps)</t>
  </si>
  <si>
    <t>Downside exit value</t>
  </si>
  <si>
    <t>Downside vs base</t>
  </si>
  <si>
    <t>BEST CASE (exit cap -25 bps, rent growth +100 bps)</t>
  </si>
  <si>
    <t>Best exit value</t>
  </si>
  <si>
    <t>Best vs base</t>
  </si>
  <si>
    <t>RECOMMENDED CUSHION</t>
  </si>
  <si>
    <t>Lender should size to base-case metrics with cushion sized to the 5th percentile downside on the most-impactful sensitivities (exit cap + rate). Cushion typically 10-15% of loan in equity OR step-down on LTC.</t>
  </si>
  <si>
    <t>SCENARIO COMPARISON</t>
  </si>
  <si>
    <t>Scenario</t>
  </si>
  <si>
    <t>Exit Value</t>
  </si>
  <si>
    <t>Best Case</t>
  </si>
  <si>
    <t>Base Case</t>
  </si>
  <si>
    <t>Downside Case</t>
  </si>
</sst>
</file>

<file path=xl/styles.xml><?xml version="1.0" encoding="utf-8"?>
<styleSheet xmlns="http://schemas.openxmlformats.org/spreadsheetml/2006/main">
  <numFmts count="5">
    <numFmt numFmtId="164" formatCode="#,##0.0000"/>
    <numFmt numFmtId="165" formatCode="_($* #,##0_);_($* (#,##0);_($* &quot;-&quot;_);_(@_)"/>
    <numFmt numFmtId="166" formatCode="0.0%"/>
    <numFmt numFmtId="167" formatCode="#,##0"/>
    <numFmt numFmtId="168" formatCode="0.00&quot;x&quot;"/>
  </numFmts>
  <fonts count="11">
    <font>
      <sz val="11"/>
      <color theme="1"/>
      <name val="Calibri"/>
      <family val="2"/>
      <scheme val="minor"/>
    </font>
    <font>
      <b/>
      <sz val="9"/>
      <color rgb="FFFAF6EE"/>
      <name val="Calibri"/>
      <family val="2"/>
      <scheme val="minor"/>
    </font>
    <font>
      <b/>
      <sz val="10"/>
      <color rgb="FF0B1A33"/>
      <name val="Calibri"/>
      <family val="2"/>
      <scheme val="minor"/>
    </font>
    <font>
      <sz val="9"/>
      <color rgb="FF16192A"/>
      <name val="Calibri"/>
      <family val="2"/>
      <scheme val="minor"/>
    </font>
    <font>
      <b/>
      <sz val="16"/>
      <color rgb="FF0B1A33"/>
      <name val="Cambria"/>
      <family val="2"/>
    </font>
    <font>
      <i/>
      <sz val="11"/>
      <color rgb="FF3D4757"/>
      <name val="Cambria"/>
      <family val="2"/>
    </font>
    <font>
      <b/>
      <sz val="11"/>
      <color rgb="FFFAF6EE"/>
      <name val="Calibri"/>
      <family val="2"/>
      <scheme val="minor"/>
    </font>
    <font>
      <sz val="10"/>
      <color rgb="FF1F4E79"/>
      <name val="Calibri"/>
      <family val="2"/>
      <scheme val="minor"/>
    </font>
    <font>
      <i/>
      <sz val="9"/>
      <color rgb="FF3D4757"/>
      <name val="Calibri"/>
      <family val="2"/>
      <scheme val="minor"/>
    </font>
    <font>
      <b/>
      <sz val="9"/>
      <color rgb="FF3D4757"/>
      <name val="Calibri"/>
      <family val="2"/>
      <scheme val="minor"/>
    </font>
    <font>
      <b/>
      <sz val="10"/>
      <color rgb="FFB89A5B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D4757"/>
        <bgColor indexed="64"/>
      </patternFill>
    </fill>
    <fill>
      <patternFill patternType="solid">
        <fgColor rgb="FF0B1A3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5EFE0"/>
        <bgColor indexed="64"/>
      </patternFill>
    </fill>
  </fills>
  <borders count="2">
    <border>
      <left/>
      <right/>
      <top/>
      <bottom/>
      <diagonal/>
    </border>
    <border>
      <left style="thin">
        <color rgb="FFD8D2C4"/>
      </left>
      <right style="thin">
        <color rgb="FFD8D2C4"/>
      </right>
      <top style="thin">
        <color rgb="FFD8D2C4"/>
      </top>
      <bottom style="thin">
        <color rgb="FFD8D2C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6" fillId="3" borderId="0" xfId="0" applyFont="1" applyFill="1" applyAlignment="1">
      <alignment horizontal="left" vertical="center" indent="1"/>
    </xf>
    <xf numFmtId="165" fontId="3" fillId="0" borderId="1" xfId="0" applyNumberFormat="1" applyFont="1" applyBorder="1" applyAlignment="1">
      <alignment horizontal="right"/>
    </xf>
    <xf numFmtId="0" fontId="7" fillId="4" borderId="1" xfId="0" applyFont="1" applyFill="1" applyBorder="1" applyAlignment="1">
      <alignment horizontal="left"/>
    </xf>
    <xf numFmtId="0" fontId="8" fillId="0" borderId="0" xfId="0" applyFont="1"/>
    <xf numFmtId="165" fontId="7" fillId="4" borderId="1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7" fontId="7" fillId="4" borderId="1" xfId="0" applyNumberFormat="1" applyFont="1" applyFill="1" applyBorder="1" applyAlignment="1">
      <alignment horizontal="right"/>
    </xf>
    <xf numFmtId="168" fontId="7" fillId="4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165" fontId="9" fillId="5" borderId="1" xfId="0" applyNumberFormat="1" applyFont="1" applyFill="1" applyBorder="1" applyAlignment="1">
      <alignment horizontal="center"/>
    </xf>
    <xf numFmtId="166" fontId="9" fillId="5" borderId="1" xfId="0" applyNumberFormat="1" applyFont="1" applyFill="1" applyBorder="1" applyAlignment="1">
      <alignment horizontal="center"/>
    </xf>
    <xf numFmtId="168" fontId="9" fillId="5" borderId="1" xfId="0" applyNumberFormat="1" applyFont="1" applyFill="1" applyBorder="1" applyAlignment="1">
      <alignment horizontal="center"/>
    </xf>
    <xf numFmtId="166" fontId="3" fillId="0" borderId="1" xfId="0" applyNumberFormat="1" applyFont="1" applyBorder="1" applyAlignment="1">
      <alignment horizontal="right"/>
    </xf>
    <xf numFmtId="168" fontId="10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0B1A33"/>
                </a:solidFill>
                <a:latin typeface="Calibri"/>
              </a:defRPr>
            </a:pPr>
            <a:r>
              <a:rPr lang="en-US" sz="1100" b="1" baseline="0">
                <a:solidFill>
                  <a:srgbClr val="0B1A33"/>
                </a:solidFill>
                <a:latin typeface="Calibri"/>
              </a:rPr>
              <a:t>Best / Base / Downside Exit Value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Exit Value by Scenario</c:v>
          </c:tx>
          <c:dPt>
            <c:idx val="0"/>
            <c:spPr>
              <a:solidFill>
                <a:srgbClr val="B89A5B"/>
              </a:solidFill>
            </c:spPr>
          </c:dPt>
          <c:dPt>
            <c:idx val="1"/>
            <c:spPr>
              <a:solidFill>
                <a:srgbClr val="0B1A33"/>
              </a:solidFill>
            </c:spPr>
          </c:dPt>
          <c:dPt>
            <c:idx val="2"/>
            <c:spPr>
              <a:solidFill>
                <a:srgbClr val="6E1E2F"/>
              </a:solidFill>
            </c:spPr>
          </c:dPt>
          <c:cat>
            <c:strRef>
              <c:f>'IC Output'!$B$28:$B$30</c:f>
              <c:strCache>
                <c:ptCount val="3"/>
                <c:pt idx="0">
                  <c:v>Best Case</c:v>
                </c:pt>
                <c:pt idx="1">
                  <c:v>Base Case</c:v>
                </c:pt>
                <c:pt idx="2">
                  <c:v>Downside Case</c:v>
                </c:pt>
              </c:strCache>
            </c:strRef>
          </c:cat>
          <c:val>
            <c:numRef>
              <c:f>'IC Output'!$C$28:$C$30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Exit Value ($)</a:t>
                </a:r>
              </a:p>
            </c:rich>
          </c:tx>
          <c:layout/>
        </c:title>
        <c:numFmt formatCode="$#,##0" sourceLinked="0"/>
        <c:tickLblPos val="nextTo"/>
        <c:crossAx val="50010001"/>
        <c:crosses val="autoZero"/>
        <c:crossBetween val="between"/>
      </c:valAx>
      <c:spPr>
        <a:solidFill>
          <a:srgbClr val="FFFFFF"/>
        </a:solidFill>
      </c:spPr>
    </c:plotArea>
    <c:plotVisOnly val="1"/>
  </c:chart>
  <c:spPr>
    <a:solidFill>
      <a:srgbClr val="FAF6EE"/>
    </a:solidFill>
    <a:ln>
      <a:solidFill>
        <a:srgbClr val="D8D2C4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0</xdr:rowOff>
    </xdr:from>
    <xdr:to>
      <xdr:col>2</xdr:col>
      <xdr:colOff>1438275</xdr:colOff>
      <xdr:row>43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3D4757"/>
  </sheetPr>
  <dimension ref="A1:E18"/>
  <sheetViews>
    <sheetView workbookViewId="0"/>
  </sheetViews>
  <sheetFormatPr defaultRowHeight="15"/>
  <cols>
    <col min="1" max="1" width="28.7109375" customWidth="1"/>
    <col min="2" max="5" width="22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2800000</v>
      </c>
      <c r="C2" s="3">
        <v>3200000</v>
      </c>
      <c r="D2" s="3">
        <v>4500000</v>
      </c>
      <c r="E2" s="3">
        <v>3940000</v>
      </c>
    </row>
    <row r="3" spans="1:5">
      <c r="A3" s="2" t="s">
        <v>6</v>
      </c>
      <c r="B3" s="3">
        <v>0.0525</v>
      </c>
      <c r="C3" s="3">
        <v>0.055</v>
      </c>
      <c r="D3" s="3">
        <v>0.0525</v>
      </c>
      <c r="E3" s="3">
        <v>0.055</v>
      </c>
    </row>
    <row r="4" spans="1:5">
      <c r="A4" s="2" t="s">
        <v>7</v>
      </c>
      <c r="B4" s="3">
        <v>0.0575</v>
      </c>
      <c r="C4" s="3">
        <v>0.0575</v>
      </c>
      <c r="D4" s="3">
        <v>0.055</v>
      </c>
      <c r="E4" s="3">
        <v>0.0575</v>
      </c>
    </row>
    <row r="5" spans="1:5">
      <c r="A5" s="2" t="s">
        <v>8</v>
      </c>
      <c r="B5" s="3">
        <v>55000000</v>
      </c>
      <c r="C5" s="3">
        <v>48000000</v>
      </c>
      <c r="D5" s="3">
        <v>72000000</v>
      </c>
      <c r="E5" s="3">
        <v>60100000</v>
      </c>
    </row>
    <row r="6" spans="1:5">
      <c r="A6" s="2" t="s">
        <v>9</v>
      </c>
      <c r="B6" s="3">
        <v>41250000</v>
      </c>
      <c r="C6" s="3">
        <v>33600000</v>
      </c>
      <c r="D6" s="3">
        <v>50400000</v>
      </c>
      <c r="E6" s="3">
        <v>42070000</v>
      </c>
    </row>
    <row r="7" spans="1:5">
      <c r="A7" s="2" t="s">
        <v>10</v>
      </c>
      <c r="B7" s="3">
        <v>0.08749999999999999</v>
      </c>
      <c r="C7" s="3">
        <v>0.0825</v>
      </c>
      <c r="D7" s="3">
        <v>0.075</v>
      </c>
      <c r="E7" s="3">
        <v>0.08500000000000001</v>
      </c>
    </row>
    <row r="8" spans="1:5">
      <c r="A8" s="2" t="s">
        <v>11</v>
      </c>
      <c r="B8" s="3">
        <v>360</v>
      </c>
      <c r="C8" s="3">
        <v>360</v>
      </c>
      <c r="D8" s="3">
        <v>360</v>
      </c>
      <c r="E8" s="3">
        <v>360</v>
      </c>
    </row>
    <row r="9" spans="1:5">
      <c r="A9" s="2" t="s">
        <v>12</v>
      </c>
      <c r="B9" s="3">
        <v>1.25</v>
      </c>
      <c r="C9" s="3">
        <v>1.25</v>
      </c>
      <c r="D9" s="3">
        <v>1.3</v>
      </c>
      <c r="E9" s="3">
        <v>1.25</v>
      </c>
    </row>
    <row r="10" spans="1:5">
      <c r="A10" s="2" t="s">
        <v>13</v>
      </c>
      <c r="B10" s="3">
        <v>0.09</v>
      </c>
      <c r="C10" s="3">
        <v>0.08500000000000001</v>
      </c>
      <c r="D10" s="3">
        <v>0.09</v>
      </c>
      <c r="E10" s="3">
        <v>0.08500000000000001</v>
      </c>
    </row>
    <row r="11" spans="1:5">
      <c r="A11" s="2" t="s">
        <v>14</v>
      </c>
      <c r="B11" s="3">
        <v>0.7</v>
      </c>
      <c r="C11" s="3">
        <v>0.7</v>
      </c>
      <c r="D11" s="3">
        <v>0.7</v>
      </c>
      <c r="E11" s="3">
        <v>0.7</v>
      </c>
    </row>
    <row r="12" spans="1:5">
      <c r="A12" s="2" t="s">
        <v>15</v>
      </c>
      <c r="B12" s="3">
        <v>0.75</v>
      </c>
      <c r="C12" s="3">
        <v>0.7</v>
      </c>
      <c r="D12" s="3">
        <v>0.7</v>
      </c>
      <c r="E12" s="3">
        <v>0.75</v>
      </c>
    </row>
    <row r="13" spans="1:5">
      <c r="A13" s="2" t="s">
        <v>16</v>
      </c>
      <c r="B13" s="3">
        <v>0.03</v>
      </c>
      <c r="C13" s="3">
        <v>0.04</v>
      </c>
      <c r="D13" s="3">
        <v>0.025</v>
      </c>
      <c r="E13" s="3">
        <v>0.03</v>
      </c>
    </row>
    <row r="14" spans="1:5">
      <c r="A14" s="2" t="s">
        <v>17</v>
      </c>
      <c r="B14" s="3">
        <v>0.03</v>
      </c>
      <c r="C14" s="3">
        <v>0.03</v>
      </c>
      <c r="D14" s="3">
        <v>0.025</v>
      </c>
      <c r="E14" s="3">
        <v>0.03</v>
      </c>
    </row>
    <row r="15" spans="1:5">
      <c r="A15" s="2" t="s">
        <v>18</v>
      </c>
      <c r="B15" s="3">
        <v>0.07000000000000001</v>
      </c>
      <c r="C15" s="3">
        <v>0.1</v>
      </c>
      <c r="D15" s="3">
        <v>0.05</v>
      </c>
      <c r="E15" s="3">
        <v>0.06</v>
      </c>
    </row>
    <row r="16" spans="1:5">
      <c r="A16" s="2" t="s">
        <v>19</v>
      </c>
      <c r="B16" s="3">
        <v>5</v>
      </c>
      <c r="C16" s="3">
        <v>5</v>
      </c>
      <c r="D16" s="3">
        <v>7</v>
      </c>
      <c r="E16" s="3">
        <v>5</v>
      </c>
    </row>
    <row r="17" spans="1:5">
      <c r="A17" s="2" t="s">
        <v>20</v>
      </c>
      <c r="B17" s="3">
        <v>13750000</v>
      </c>
      <c r="C17" s="3">
        <v>14400000</v>
      </c>
      <c r="D17" s="3">
        <v>21600000</v>
      </c>
      <c r="E17" s="3">
        <v>18030000</v>
      </c>
    </row>
    <row r="18" spans="1:5">
      <c r="A18" s="2" t="s">
        <v>21</v>
      </c>
      <c r="B18" s="3">
        <v>0.02</v>
      </c>
      <c r="C18" s="3">
        <v>0.02</v>
      </c>
      <c r="D18" s="3">
        <v>0.015</v>
      </c>
      <c r="E18" s="3">
        <v>0.02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B1A33"/>
  </sheetPr>
  <dimension ref="B2:C12"/>
  <sheetViews>
    <sheetView showGridLines="0" tabSelected="1" workbookViewId="0"/>
  </sheetViews>
  <sheetFormatPr defaultRowHeight="15"/>
  <cols>
    <col min="1" max="1" width="2.7109375" customWidth="1"/>
    <col min="2" max="2" width="28.7109375" customWidth="1"/>
    <col min="3" max="3" width="80.7109375" customWidth="1"/>
  </cols>
  <sheetData>
    <row r="2" spans="2:3">
      <c r="B2" s="4" t="s">
        <v>22</v>
      </c>
    </row>
    <row r="3" spans="2:3">
      <c r="B3" s="5" t="s">
        <v>23</v>
      </c>
    </row>
    <row r="5" spans="2:3">
      <c r="B5" s="6" t="s">
        <v>24</v>
      </c>
      <c r="C5" s="6"/>
    </row>
    <row r="7" spans="2:3">
      <c r="B7" s="7" t="s">
        <v>25</v>
      </c>
      <c r="C7" s="7"/>
    </row>
    <row r="8" spans="2:3">
      <c r="B8" s="7" t="s">
        <v>26</v>
      </c>
      <c r="C8" s="7"/>
    </row>
    <row r="9" spans="2:3">
      <c r="B9" s="7" t="s">
        <v>27</v>
      </c>
      <c r="C9" s="7"/>
    </row>
    <row r="10" spans="2:3">
      <c r="B10" s="7" t="s">
        <v>28</v>
      </c>
      <c r="C10" s="7"/>
    </row>
    <row r="11" spans="2:3">
      <c r="B11" s="7" t="s">
        <v>29</v>
      </c>
      <c r="C11" s="7"/>
    </row>
    <row r="12" spans="2:3">
      <c r="B12" s="7" t="s">
        <v>30</v>
      </c>
      <c r="C12" s="7"/>
    </row>
  </sheetData>
  <mergeCells count="7">
    <mergeCell ref="B5:C5"/>
    <mergeCell ref="B7:C7"/>
    <mergeCell ref="B8:C8"/>
    <mergeCell ref="B9:C9"/>
    <mergeCell ref="B10:C10"/>
    <mergeCell ref="B11:C11"/>
    <mergeCell ref="B12:C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B89A5B"/>
  </sheetPr>
  <dimension ref="B2:C27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3" width="20.7109375" customWidth="1"/>
  </cols>
  <sheetData>
    <row r="2" spans="2:3">
      <c r="B2" s="4" t="s">
        <v>31</v>
      </c>
      <c r="C2" s="4"/>
    </row>
    <row r="3" spans="2:3">
      <c r="B3" s="5" t="s">
        <v>32</v>
      </c>
      <c r="C3" s="5"/>
    </row>
    <row r="5" spans="2:3">
      <c r="B5" s="6" t="s">
        <v>33</v>
      </c>
      <c r="C5" s="6"/>
    </row>
    <row r="6" spans="2:3">
      <c r="B6" s="2" t="s">
        <v>34</v>
      </c>
      <c r="C6" s="8" t="s">
        <v>2</v>
      </c>
    </row>
    <row r="7" spans="2:3">
      <c r="B7" s="9" t="s">
        <v>35</v>
      </c>
      <c r="C7" s="9"/>
    </row>
    <row r="9" spans="2:3">
      <c r="B9" s="6" t="s">
        <v>36</v>
      </c>
      <c r="C9" s="6"/>
    </row>
    <row r="11" spans="2:3">
      <c r="B11" s="2" t="s">
        <v>5</v>
      </c>
      <c r="C11" s="10">
        <f>IF(sa_deal_type="Construction",preset_1_noi,IF(sa_deal_type="Value-add acquisition",preset_2_noi,IF(sa_deal_type="Stabilized refi",preset_3_noi,3940000)))</f>
        <v>0</v>
      </c>
    </row>
    <row r="12" spans="2:3">
      <c r="B12" s="2" t="s">
        <v>6</v>
      </c>
      <c r="C12" s="11">
        <f>IF(sa_deal_type="Construction",preset_1_stab_cap,IF(sa_deal_type="Value-add acquisition",preset_2_stab_cap,IF(sa_deal_type="Stabilized refi",preset_3_stab_cap,0.055)))</f>
        <v>0</v>
      </c>
    </row>
    <row r="13" spans="2:3">
      <c r="B13" s="2" t="s">
        <v>7</v>
      </c>
      <c r="C13" s="11">
        <f>IF(sa_deal_type="Construction",preset_1_exit_cap,IF(sa_deal_type="Value-add acquisition",preset_2_exit_cap,IF(sa_deal_type="Stabilized refi",preset_3_exit_cap,0.0575)))</f>
        <v>0</v>
      </c>
    </row>
    <row r="14" spans="2:3">
      <c r="B14" s="2" t="s">
        <v>8</v>
      </c>
      <c r="C14" s="10">
        <f>IF(sa_deal_type="Construction",preset_1_tpc,IF(sa_deal_type="Value-add acquisition",preset_2_tpc,IF(sa_deal_type="Stabilized refi",preset_3_tpc,60100000)))</f>
        <v>0</v>
      </c>
    </row>
    <row r="15" spans="2:3">
      <c r="B15" s="2" t="s">
        <v>9</v>
      </c>
      <c r="C15" s="10">
        <f>IF(sa_deal_type="Construction",preset_1_loan,IF(sa_deal_type="Value-add acquisition",preset_2_loan,IF(sa_deal_type="Stabilized refi",preset_3_loan,42070000)))</f>
        <v>0</v>
      </c>
    </row>
    <row r="16" spans="2:3">
      <c r="B16" s="2" t="s">
        <v>10</v>
      </c>
      <c r="C16" s="11">
        <f>IF(sa_deal_type="Construction",preset_1_rate,IF(sa_deal_type="Value-add acquisition",preset_2_rate,IF(sa_deal_type="Stabilized refi",preset_3_rate,0.085)))</f>
        <v>0</v>
      </c>
    </row>
    <row r="17" spans="2:3">
      <c r="B17" s="2" t="s">
        <v>11</v>
      </c>
      <c r="C17" s="12">
        <f>IF(sa_deal_type="Construction",preset_1_amort,IF(sa_deal_type="Value-add acquisition",preset_2_amort,IF(sa_deal_type="Stabilized refi",preset_3_amort,360)))</f>
        <v>0</v>
      </c>
    </row>
    <row r="18" spans="2:3">
      <c r="B18" s="2" t="s">
        <v>12</v>
      </c>
      <c r="C18" s="13">
        <f>IF(sa_deal_type="Construction",preset_1_dscr_min,IF(sa_deal_type="Value-add acquisition",preset_2_dscr_min,IF(sa_deal_type="Stabilized refi",preset_3_dscr_min,1.25)))</f>
        <v>0</v>
      </c>
    </row>
    <row r="19" spans="2:3">
      <c r="B19" s="2" t="s">
        <v>13</v>
      </c>
      <c r="C19" s="11">
        <f>IF(sa_deal_type="Construction",preset_1_dy_min,IF(sa_deal_type="Value-add acquisition",preset_2_dy_min,IF(sa_deal_type="Stabilized refi",preset_3_dy_min,0.085)))</f>
        <v>0</v>
      </c>
    </row>
    <row r="20" spans="2:3">
      <c r="B20" s="2" t="s">
        <v>14</v>
      </c>
      <c r="C20" s="11">
        <f>IF(sa_deal_type="Construction",preset_1_ltv_max,IF(sa_deal_type="Value-add acquisition",preset_2_ltv_max,IF(sa_deal_type="Stabilized refi",preset_3_ltv_max,0.7)))</f>
        <v>0</v>
      </c>
    </row>
    <row r="21" spans="2:3">
      <c r="B21" s="2" t="s">
        <v>15</v>
      </c>
      <c r="C21" s="11">
        <f>IF(sa_deal_type="Construction",preset_1_ltc_max,IF(sa_deal_type="Value-add acquisition",preset_2_ltc_max,IF(sa_deal_type="Stabilized refi",preset_3_ltc_max,0.75)))</f>
        <v>0</v>
      </c>
    </row>
    <row r="22" spans="2:3">
      <c r="B22" s="2" t="s">
        <v>16</v>
      </c>
      <c r="C22" s="11">
        <f>IF(sa_deal_type="Construction",preset_1_rent_growth,IF(sa_deal_type="Value-add acquisition",preset_2_rent_growth,IF(sa_deal_type="Stabilized refi",preset_3_rent_growth,0.03)))</f>
        <v>0</v>
      </c>
    </row>
    <row r="23" spans="2:3">
      <c r="B23" s="2" t="s">
        <v>17</v>
      </c>
      <c r="C23" s="11">
        <f>IF(sa_deal_type="Construction",preset_1_expense_growth,IF(sa_deal_type="Value-add acquisition",preset_2_expense_growth,IF(sa_deal_type="Stabilized refi",preset_3_expense_growth,0.03)))</f>
        <v>0</v>
      </c>
    </row>
    <row r="24" spans="2:3">
      <c r="B24" s="2" t="s">
        <v>18</v>
      </c>
      <c r="C24" s="11">
        <f>IF(sa_deal_type="Construction",preset_1_vacancy,IF(sa_deal_type="Value-add acquisition",preset_2_vacancy,IF(sa_deal_type="Stabilized refi",preset_3_vacancy,0.06)))</f>
        <v>0</v>
      </c>
    </row>
    <row r="25" spans="2:3">
      <c r="B25" s="2" t="s">
        <v>19</v>
      </c>
      <c r="C25" s="12">
        <f>IF(sa_deal_type="Construction",preset_1_hold_years,IF(sa_deal_type="Value-add acquisition",preset_2_hold_years,IF(sa_deal_type="Stabilized refi",preset_3_hold_years,5)))</f>
        <v>0</v>
      </c>
    </row>
    <row r="26" spans="2:3">
      <c r="B26" s="2" t="s">
        <v>20</v>
      </c>
      <c r="C26" s="10">
        <f>IF(sa_deal_type="Construction",preset_1_equity,IF(sa_deal_type="Value-add acquisition",preset_2_equity,IF(sa_deal_type="Stabilized refi",preset_3_equity,18030000)))</f>
        <v>0</v>
      </c>
    </row>
    <row r="27" spans="2:3">
      <c r="B27" s="2" t="s">
        <v>21</v>
      </c>
      <c r="C27" s="11">
        <f>IF(sa_deal_type="Construction",preset_1_sale_costs,IF(sa_deal_type="Value-add acquisition",preset_2_sale_costs,IF(sa_deal_type="Stabilized refi",preset_3_sale_costs,0.02)))</f>
        <v>0</v>
      </c>
    </row>
  </sheetData>
  <mergeCells count="5">
    <mergeCell ref="B2:C2"/>
    <mergeCell ref="B3:C3"/>
    <mergeCell ref="B5:C5"/>
    <mergeCell ref="B7:C7"/>
    <mergeCell ref="B9:C9"/>
  </mergeCells>
  <dataValidations count="1">
    <dataValidation type="list" allowBlank="1" showInputMessage="1" showErrorMessage="1" sqref="C6">
      <formula1>"Construction,Value-add acquisition,Stabilized refi,Custom"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B89A5B"/>
  </sheetPr>
  <dimension ref="B2:G21"/>
  <sheetViews>
    <sheetView showGridLines="0" workbookViewId="0"/>
  </sheetViews>
  <sheetFormatPr defaultRowHeight="15"/>
  <cols>
    <col min="1" max="1" width="2.7109375" customWidth="1"/>
    <col min="2" max="2" width="20.7109375" customWidth="1"/>
    <col min="3" max="7" width="14.7109375" customWidth="1"/>
  </cols>
  <sheetData>
    <row r="2" spans="2:7">
      <c r="B2" s="4" t="s">
        <v>37</v>
      </c>
      <c r="C2" s="4"/>
      <c r="D2" s="4"/>
      <c r="E2" s="4"/>
      <c r="F2" s="4"/>
      <c r="G2" s="4"/>
    </row>
    <row r="3" spans="2:7">
      <c r="B3" s="5" t="s">
        <v>38</v>
      </c>
      <c r="C3" s="5"/>
      <c r="D3" s="5"/>
      <c r="E3" s="5"/>
      <c r="F3" s="5"/>
      <c r="G3" s="5"/>
    </row>
    <row r="5" spans="2:7">
      <c r="B5" s="6" t="s">
        <v>39</v>
      </c>
      <c r="C5" s="6"/>
      <c r="D5" s="6"/>
      <c r="E5" s="6"/>
      <c r="F5" s="6"/>
      <c r="G5" s="6"/>
    </row>
    <row r="7" spans="2:7">
      <c r="B7" s="14" t="s">
        <v>40</v>
      </c>
      <c r="C7" s="15">
        <f>sa_noi*0.9</f>
        <v>0</v>
      </c>
      <c r="D7" s="15">
        <f>sa_noi*0.95</f>
        <v>0</v>
      </c>
      <c r="E7" s="15">
        <f>sa_noi*1.0</f>
        <v>0</v>
      </c>
      <c r="F7" s="15">
        <f>sa_noi*1.05</f>
        <v>0</v>
      </c>
      <c r="G7" s="15">
        <f>sa_noi*1.1</f>
        <v>0</v>
      </c>
    </row>
    <row r="8" spans="2:7">
      <c r="B8" s="16">
        <f>sa_stab_cap+-0.005</f>
        <v>0</v>
      </c>
      <c r="C8" s="7">
        <f>IFERROR(sa_noi*0.9/(sa_stab_cap+-0.005),0)</f>
        <v>0</v>
      </c>
      <c r="D8" s="7">
        <f>IFERROR(sa_noi*0.95/(sa_stab_cap+-0.005),0)</f>
        <v>0</v>
      </c>
      <c r="E8" s="7">
        <f>IFERROR(sa_noi*1.0/(sa_stab_cap+-0.005),0)</f>
        <v>0</v>
      </c>
      <c r="F8" s="7">
        <f>IFERROR(sa_noi*1.05/(sa_stab_cap+-0.005),0)</f>
        <v>0</v>
      </c>
      <c r="G8" s="7">
        <f>IFERROR(sa_noi*1.1/(sa_stab_cap+-0.005),0)</f>
        <v>0</v>
      </c>
    </row>
    <row r="9" spans="2:7">
      <c r="B9" s="16">
        <f>sa_stab_cap+-0.0025</f>
        <v>0</v>
      </c>
      <c r="C9" s="7">
        <f>IFERROR(sa_noi*0.9/(sa_stab_cap+-0.0025),0)</f>
        <v>0</v>
      </c>
      <c r="D9" s="7">
        <f>IFERROR(sa_noi*0.95/(sa_stab_cap+-0.0025),0)</f>
        <v>0</v>
      </c>
      <c r="E9" s="7">
        <f>IFERROR(sa_noi*1.0/(sa_stab_cap+-0.0025),0)</f>
        <v>0</v>
      </c>
      <c r="F9" s="7">
        <f>IFERROR(sa_noi*1.05/(sa_stab_cap+-0.0025),0)</f>
        <v>0</v>
      </c>
      <c r="G9" s="7">
        <f>IFERROR(sa_noi*1.1/(sa_stab_cap+-0.0025),0)</f>
        <v>0</v>
      </c>
    </row>
    <row r="10" spans="2:7">
      <c r="B10" s="16">
        <f>sa_stab_cap+0</f>
        <v>0</v>
      </c>
      <c r="C10" s="7">
        <f>IFERROR(sa_noi*0.9/(sa_stab_cap+0),0)</f>
        <v>0</v>
      </c>
      <c r="D10" s="7">
        <f>IFERROR(sa_noi*0.95/(sa_stab_cap+0),0)</f>
        <v>0</v>
      </c>
      <c r="E10" s="7">
        <f>IFERROR(sa_noi*1.0/(sa_stab_cap+0),0)</f>
        <v>0</v>
      </c>
      <c r="F10" s="7">
        <f>IFERROR(sa_noi*1.05/(sa_stab_cap+0),0)</f>
        <v>0</v>
      </c>
      <c r="G10" s="7">
        <f>IFERROR(sa_noi*1.1/(sa_stab_cap+0),0)</f>
        <v>0</v>
      </c>
    </row>
    <row r="11" spans="2:7">
      <c r="B11" s="16">
        <f>sa_stab_cap+0.0025</f>
        <v>0</v>
      </c>
      <c r="C11" s="7">
        <f>IFERROR(sa_noi*0.9/(sa_stab_cap+0.0025),0)</f>
        <v>0</v>
      </c>
      <c r="D11" s="7">
        <f>IFERROR(sa_noi*0.95/(sa_stab_cap+0.0025),0)</f>
        <v>0</v>
      </c>
      <c r="E11" s="7">
        <f>IFERROR(sa_noi*1.0/(sa_stab_cap+0.0025),0)</f>
        <v>0</v>
      </c>
      <c r="F11" s="7">
        <f>IFERROR(sa_noi*1.05/(sa_stab_cap+0.0025),0)</f>
        <v>0</v>
      </c>
      <c r="G11" s="7">
        <f>IFERROR(sa_noi*1.1/(sa_stab_cap+0.0025),0)</f>
        <v>0</v>
      </c>
    </row>
    <row r="12" spans="2:7">
      <c r="B12" s="16">
        <f>sa_stab_cap+0.005</f>
        <v>0</v>
      </c>
      <c r="C12" s="7">
        <f>IFERROR(sa_noi*0.9/(sa_stab_cap+0.005),0)</f>
        <v>0</v>
      </c>
      <c r="D12" s="7">
        <f>IFERROR(sa_noi*0.95/(sa_stab_cap+0.005),0)</f>
        <v>0</v>
      </c>
      <c r="E12" s="7">
        <f>IFERROR(sa_noi*1.0/(sa_stab_cap+0.005),0)</f>
        <v>0</v>
      </c>
      <c r="F12" s="7">
        <f>IFERROR(sa_noi*1.05/(sa_stab_cap+0.005),0)</f>
        <v>0</v>
      </c>
      <c r="G12" s="7">
        <f>IFERROR(sa_noi*1.1/(sa_stab_cap+0.005),0)</f>
        <v>0</v>
      </c>
    </row>
    <row r="14" spans="2:7">
      <c r="B14" s="6" t="s">
        <v>41</v>
      </c>
      <c r="C14" s="6"/>
      <c r="D14" s="6"/>
      <c r="E14" s="6"/>
      <c r="F14" s="6"/>
      <c r="G14" s="6"/>
    </row>
    <row r="16" spans="2:7">
      <c r="B16" s="14" t="s">
        <v>42</v>
      </c>
      <c r="C16" s="16">
        <v>0.01</v>
      </c>
      <c r="D16" s="16">
        <v>0.02</v>
      </c>
      <c r="E16" s="16">
        <v>0.03</v>
      </c>
      <c r="F16" s="16">
        <v>0.04</v>
      </c>
      <c r="G16" s="16">
        <v>0.05</v>
      </c>
    </row>
    <row r="17" spans="2:7">
      <c r="B17" s="16">
        <f>sa_exit_cap+-0.005</f>
        <v>0</v>
      </c>
      <c r="C17" s="7">
        <f>sa_noi*(1+0.01)^(sa_hold_years-3)/(sa_exit_cap+-0.005)</f>
        <v>0</v>
      </c>
      <c r="D17" s="7">
        <f>sa_noi*(1+0.02)^(sa_hold_years-3)/(sa_exit_cap+-0.005)</f>
        <v>0</v>
      </c>
      <c r="E17" s="7">
        <f>sa_noi*(1+0.03)^(sa_hold_years-3)/(sa_exit_cap+-0.005)</f>
        <v>0</v>
      </c>
      <c r="F17" s="7">
        <f>sa_noi*(1+0.04)^(sa_hold_years-3)/(sa_exit_cap+-0.005)</f>
        <v>0</v>
      </c>
      <c r="G17" s="7">
        <f>sa_noi*(1+0.05)^(sa_hold_years-3)/(sa_exit_cap+-0.005)</f>
        <v>0</v>
      </c>
    </row>
    <row r="18" spans="2:7">
      <c r="B18" s="16">
        <f>sa_exit_cap+-0.0025</f>
        <v>0</v>
      </c>
      <c r="C18" s="7">
        <f>sa_noi*(1+0.01)^(sa_hold_years-3)/(sa_exit_cap+-0.0025)</f>
        <v>0</v>
      </c>
      <c r="D18" s="7">
        <f>sa_noi*(1+0.02)^(sa_hold_years-3)/(sa_exit_cap+-0.0025)</f>
        <v>0</v>
      </c>
      <c r="E18" s="7">
        <f>sa_noi*(1+0.03)^(sa_hold_years-3)/(sa_exit_cap+-0.0025)</f>
        <v>0</v>
      </c>
      <c r="F18" s="7">
        <f>sa_noi*(1+0.04)^(sa_hold_years-3)/(sa_exit_cap+-0.0025)</f>
        <v>0</v>
      </c>
      <c r="G18" s="7">
        <f>sa_noi*(1+0.05)^(sa_hold_years-3)/(sa_exit_cap+-0.0025)</f>
        <v>0</v>
      </c>
    </row>
    <row r="19" spans="2:7">
      <c r="B19" s="16">
        <f>sa_exit_cap+0</f>
        <v>0</v>
      </c>
      <c r="C19" s="7">
        <f>sa_noi*(1+0.01)^(sa_hold_years-3)/(sa_exit_cap+0)</f>
        <v>0</v>
      </c>
      <c r="D19" s="7">
        <f>sa_noi*(1+0.02)^(sa_hold_years-3)/(sa_exit_cap+0)</f>
        <v>0</v>
      </c>
      <c r="E19" s="7">
        <f>sa_noi*(1+0.03)^(sa_hold_years-3)/(sa_exit_cap+0)</f>
        <v>0</v>
      </c>
      <c r="F19" s="7">
        <f>sa_noi*(1+0.04)^(sa_hold_years-3)/(sa_exit_cap+0)</f>
        <v>0</v>
      </c>
      <c r="G19" s="7">
        <f>sa_noi*(1+0.05)^(sa_hold_years-3)/(sa_exit_cap+0)</f>
        <v>0</v>
      </c>
    </row>
    <row r="20" spans="2:7">
      <c r="B20" s="16">
        <f>sa_exit_cap+0.0025</f>
        <v>0</v>
      </c>
      <c r="C20" s="7">
        <f>sa_noi*(1+0.01)^(sa_hold_years-3)/(sa_exit_cap+0.0025)</f>
        <v>0</v>
      </c>
      <c r="D20" s="7">
        <f>sa_noi*(1+0.02)^(sa_hold_years-3)/(sa_exit_cap+0.0025)</f>
        <v>0</v>
      </c>
      <c r="E20" s="7">
        <f>sa_noi*(1+0.03)^(sa_hold_years-3)/(sa_exit_cap+0.0025)</f>
        <v>0</v>
      </c>
      <c r="F20" s="7">
        <f>sa_noi*(1+0.04)^(sa_hold_years-3)/(sa_exit_cap+0.0025)</f>
        <v>0</v>
      </c>
      <c r="G20" s="7">
        <f>sa_noi*(1+0.05)^(sa_hold_years-3)/(sa_exit_cap+0.0025)</f>
        <v>0</v>
      </c>
    </row>
    <row r="21" spans="2:7">
      <c r="B21" s="16">
        <f>sa_exit_cap+0.005</f>
        <v>0</v>
      </c>
      <c r="C21" s="7">
        <f>sa_noi*(1+0.01)^(sa_hold_years-3)/(sa_exit_cap+0.005)</f>
        <v>0</v>
      </c>
      <c r="D21" s="7">
        <f>sa_noi*(1+0.02)^(sa_hold_years-3)/(sa_exit_cap+0.005)</f>
        <v>0</v>
      </c>
      <c r="E21" s="7">
        <f>sa_noi*(1+0.03)^(sa_hold_years-3)/(sa_exit_cap+0.005)</f>
        <v>0</v>
      </c>
      <c r="F21" s="7">
        <f>sa_noi*(1+0.04)^(sa_hold_years-3)/(sa_exit_cap+0.005)</f>
        <v>0</v>
      </c>
      <c r="G21" s="7">
        <f>sa_noi*(1+0.05)^(sa_hold_years-3)/(sa_exit_cap+0.005)</f>
        <v>0</v>
      </c>
    </row>
  </sheetData>
  <mergeCells count="4">
    <mergeCell ref="B2:G2"/>
    <mergeCell ref="B3:G3"/>
    <mergeCell ref="B5:G5"/>
    <mergeCell ref="B14:G14"/>
  </mergeCells>
  <conditionalFormatting sqref="C17:G21">
    <cfRule type="colorScale" priority="2">
      <colorScale>
        <cfvo type="min" val="0"/>
        <cfvo type="percentile" val="50"/>
        <cfvo type="max" val="0"/>
        <color rgb="FFFFC7CE"/>
        <color rgb="FFFFEB9C"/>
        <color rgb="FFC6EFCE"/>
      </colorScale>
    </cfRule>
  </conditionalFormatting>
  <conditionalFormatting sqref="C8:G12">
    <cfRule type="colorScale" priority="1">
      <colorScale>
        <cfvo type="min" val="0"/>
        <cfvo type="percentile" val="50"/>
        <cfvo type="max" val="0"/>
        <color rgb="FFFFC7CE"/>
        <color rgb="FFFFEB9C"/>
        <color rgb="FFC6EFCE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B89A5B"/>
  </sheetPr>
  <dimension ref="B2:G21"/>
  <sheetViews>
    <sheetView showGridLines="0" workbookViewId="0"/>
  </sheetViews>
  <sheetFormatPr defaultRowHeight="15"/>
  <cols>
    <col min="1" max="1" width="2.7109375" customWidth="1"/>
    <col min="2" max="2" width="22.7109375" customWidth="1"/>
    <col min="3" max="7" width="14.7109375" customWidth="1"/>
  </cols>
  <sheetData>
    <row r="2" spans="2:7">
      <c r="B2" s="4" t="s">
        <v>43</v>
      </c>
      <c r="C2" s="4"/>
      <c r="D2" s="4"/>
      <c r="E2" s="4"/>
      <c r="F2" s="4"/>
      <c r="G2" s="4"/>
    </row>
    <row r="3" spans="2:7">
      <c r="B3" s="5" t="s">
        <v>44</v>
      </c>
      <c r="C3" s="5"/>
      <c r="D3" s="5"/>
      <c r="E3" s="5"/>
      <c r="F3" s="5"/>
      <c r="G3" s="5"/>
    </row>
    <row r="5" spans="2:7">
      <c r="B5" s="6" t="s">
        <v>45</v>
      </c>
      <c r="C5" s="6"/>
      <c r="D5" s="6"/>
      <c r="E5" s="6"/>
      <c r="F5" s="6"/>
      <c r="G5" s="6"/>
    </row>
    <row r="7" spans="2:7">
      <c r="B7" s="14" t="s">
        <v>46</v>
      </c>
      <c r="C7" s="17">
        <v>1.15</v>
      </c>
      <c r="D7" s="17">
        <v>1.2</v>
      </c>
      <c r="E7" s="17">
        <v>1.25</v>
      </c>
      <c r="F7" s="17">
        <v>1.3</v>
      </c>
      <c r="G7" s="17">
        <v>1.35</v>
      </c>
    </row>
    <row r="8" spans="2:7">
      <c r="B8" s="16">
        <f>sa_rate+-0.01</f>
        <v>0</v>
      </c>
      <c r="C8" s="7">
        <f>sa_noi/(1.15*(-PMT((sa_rate+-0.01)/12,sa_amort,1)*12))</f>
        <v>0</v>
      </c>
      <c r="D8" s="7">
        <f>sa_noi/(1.2*(-PMT((sa_rate+-0.01)/12,sa_amort,1)*12))</f>
        <v>0</v>
      </c>
      <c r="E8" s="7">
        <f>sa_noi/(1.25*(-PMT((sa_rate+-0.01)/12,sa_amort,1)*12))</f>
        <v>0</v>
      </c>
      <c r="F8" s="7">
        <f>sa_noi/(1.3*(-PMT((sa_rate+-0.01)/12,sa_amort,1)*12))</f>
        <v>0</v>
      </c>
      <c r="G8" s="7">
        <f>sa_noi/(1.35*(-PMT((sa_rate+-0.01)/12,sa_amort,1)*12))</f>
        <v>0</v>
      </c>
    </row>
    <row r="9" spans="2:7">
      <c r="B9" s="16">
        <f>sa_rate+-0.005</f>
        <v>0</v>
      </c>
      <c r="C9" s="7">
        <f>sa_noi/(1.15*(-PMT((sa_rate+-0.005)/12,sa_amort,1)*12))</f>
        <v>0</v>
      </c>
      <c r="D9" s="7">
        <f>sa_noi/(1.2*(-PMT((sa_rate+-0.005)/12,sa_amort,1)*12))</f>
        <v>0</v>
      </c>
      <c r="E9" s="7">
        <f>sa_noi/(1.25*(-PMT((sa_rate+-0.005)/12,sa_amort,1)*12))</f>
        <v>0</v>
      </c>
      <c r="F9" s="7">
        <f>sa_noi/(1.3*(-PMT((sa_rate+-0.005)/12,sa_amort,1)*12))</f>
        <v>0</v>
      </c>
      <c r="G9" s="7">
        <f>sa_noi/(1.35*(-PMT((sa_rate+-0.005)/12,sa_amort,1)*12))</f>
        <v>0</v>
      </c>
    </row>
    <row r="10" spans="2:7">
      <c r="B10" s="16">
        <f>sa_rate+0</f>
        <v>0</v>
      </c>
      <c r="C10" s="7">
        <f>sa_noi/(1.15*(-PMT((sa_rate+0)/12,sa_amort,1)*12))</f>
        <v>0</v>
      </c>
      <c r="D10" s="7">
        <f>sa_noi/(1.2*(-PMT((sa_rate+0)/12,sa_amort,1)*12))</f>
        <v>0</v>
      </c>
      <c r="E10" s="7">
        <f>sa_noi/(1.25*(-PMT((sa_rate+0)/12,sa_amort,1)*12))</f>
        <v>0</v>
      </c>
      <c r="F10" s="7">
        <f>sa_noi/(1.3*(-PMT((sa_rate+0)/12,sa_amort,1)*12))</f>
        <v>0</v>
      </c>
      <c r="G10" s="7">
        <f>sa_noi/(1.35*(-PMT((sa_rate+0)/12,sa_amort,1)*12))</f>
        <v>0</v>
      </c>
    </row>
    <row r="11" spans="2:7">
      <c r="B11" s="16">
        <f>sa_rate+0.005</f>
        <v>0</v>
      </c>
      <c r="C11" s="7">
        <f>sa_noi/(1.15*(-PMT((sa_rate+0.005)/12,sa_amort,1)*12))</f>
        <v>0</v>
      </c>
      <c r="D11" s="7">
        <f>sa_noi/(1.2*(-PMT((sa_rate+0.005)/12,sa_amort,1)*12))</f>
        <v>0</v>
      </c>
      <c r="E11" s="7">
        <f>sa_noi/(1.25*(-PMT((sa_rate+0.005)/12,sa_amort,1)*12))</f>
        <v>0</v>
      </c>
      <c r="F11" s="7">
        <f>sa_noi/(1.3*(-PMT((sa_rate+0.005)/12,sa_amort,1)*12))</f>
        <v>0</v>
      </c>
      <c r="G11" s="7">
        <f>sa_noi/(1.35*(-PMT((sa_rate+0.005)/12,sa_amort,1)*12))</f>
        <v>0</v>
      </c>
    </row>
    <row r="12" spans="2:7">
      <c r="B12" s="16">
        <f>sa_rate+0.01</f>
        <v>0</v>
      </c>
      <c r="C12" s="7">
        <f>sa_noi/(1.15*(-PMT((sa_rate+0.01)/12,sa_amort,1)*12))</f>
        <v>0</v>
      </c>
      <c r="D12" s="7">
        <f>sa_noi/(1.2*(-PMT((sa_rate+0.01)/12,sa_amort,1)*12))</f>
        <v>0</v>
      </c>
      <c r="E12" s="7">
        <f>sa_noi/(1.25*(-PMT((sa_rate+0.01)/12,sa_amort,1)*12))</f>
        <v>0</v>
      </c>
      <c r="F12" s="7">
        <f>sa_noi/(1.3*(-PMT((sa_rate+0.01)/12,sa_amort,1)*12))</f>
        <v>0</v>
      </c>
      <c r="G12" s="7">
        <f>sa_noi/(1.35*(-PMT((sa_rate+0.01)/12,sa_amort,1)*12))</f>
        <v>0</v>
      </c>
    </row>
    <row r="14" spans="2:7">
      <c r="B14" s="6" t="s">
        <v>47</v>
      </c>
      <c r="C14" s="6"/>
      <c r="D14" s="6"/>
      <c r="E14" s="6"/>
      <c r="F14" s="6"/>
      <c r="G14" s="6"/>
    </row>
    <row r="16" spans="2:7">
      <c r="B16" s="14" t="s">
        <v>48</v>
      </c>
      <c r="C16" s="15">
        <f>sa_loan*0.85</f>
        <v>0</v>
      </c>
      <c r="D16" s="15">
        <f>sa_loan*0.93</f>
        <v>0</v>
      </c>
      <c r="E16" s="15">
        <f>sa_loan*1.0</f>
        <v>0</v>
      </c>
      <c r="F16" s="15">
        <f>sa_loan*1.07</f>
        <v>0</v>
      </c>
      <c r="G16" s="15">
        <f>sa_loan*1.15</f>
        <v>0</v>
      </c>
    </row>
    <row r="17" spans="2:7">
      <c r="B17" s="16">
        <v>0.075</v>
      </c>
      <c r="C17" s="7">
        <f>sa_loan*0.85*0.075</f>
        <v>0</v>
      </c>
      <c r="D17" s="7">
        <f>sa_loan*0.93*0.075</f>
        <v>0</v>
      </c>
      <c r="E17" s="7">
        <f>sa_loan*1.0*0.075</f>
        <v>0</v>
      </c>
      <c r="F17" s="7">
        <f>sa_loan*1.07*0.075</f>
        <v>0</v>
      </c>
      <c r="G17" s="7">
        <f>sa_loan*1.15*0.075</f>
        <v>0</v>
      </c>
    </row>
    <row r="18" spans="2:7">
      <c r="B18" s="16">
        <v>0.08</v>
      </c>
      <c r="C18" s="7">
        <f>sa_loan*0.85*0.08</f>
        <v>0</v>
      </c>
      <c r="D18" s="7">
        <f>sa_loan*0.93*0.08</f>
        <v>0</v>
      </c>
      <c r="E18" s="7">
        <f>sa_loan*1.0*0.08</f>
        <v>0</v>
      </c>
      <c r="F18" s="7">
        <f>sa_loan*1.07*0.08</f>
        <v>0</v>
      </c>
      <c r="G18" s="7">
        <f>sa_loan*1.15*0.08</f>
        <v>0</v>
      </c>
    </row>
    <row r="19" spans="2:7">
      <c r="B19" s="16">
        <v>0.08500000000000001</v>
      </c>
      <c r="C19" s="7">
        <f>sa_loan*0.85*0.085</f>
        <v>0</v>
      </c>
      <c r="D19" s="7">
        <f>sa_loan*0.93*0.085</f>
        <v>0</v>
      </c>
      <c r="E19" s="7">
        <f>sa_loan*1.0*0.085</f>
        <v>0</v>
      </c>
      <c r="F19" s="7">
        <f>sa_loan*1.07*0.085</f>
        <v>0</v>
      </c>
      <c r="G19" s="7">
        <f>sa_loan*1.15*0.085</f>
        <v>0</v>
      </c>
    </row>
    <row r="20" spans="2:7">
      <c r="B20" s="16">
        <v>0.09</v>
      </c>
      <c r="C20" s="7">
        <f>sa_loan*0.85*0.09</f>
        <v>0</v>
      </c>
      <c r="D20" s="7">
        <f>sa_loan*0.93*0.09</f>
        <v>0</v>
      </c>
      <c r="E20" s="7">
        <f>sa_loan*1.0*0.09</f>
        <v>0</v>
      </c>
      <c r="F20" s="7">
        <f>sa_loan*1.07*0.09</f>
        <v>0</v>
      </c>
      <c r="G20" s="7">
        <f>sa_loan*1.15*0.09</f>
        <v>0</v>
      </c>
    </row>
    <row r="21" spans="2:7">
      <c r="B21" s="16">
        <v>0.095</v>
      </c>
      <c r="C21" s="7">
        <f>sa_loan*0.85*0.095</f>
        <v>0</v>
      </c>
      <c r="D21" s="7">
        <f>sa_loan*0.93*0.095</f>
        <v>0</v>
      </c>
      <c r="E21" s="7">
        <f>sa_loan*1.0*0.095</f>
        <v>0</v>
      </c>
      <c r="F21" s="7">
        <f>sa_loan*1.07*0.095</f>
        <v>0</v>
      </c>
      <c r="G21" s="7">
        <f>sa_loan*1.15*0.095</f>
        <v>0</v>
      </c>
    </row>
  </sheetData>
  <mergeCells count="4">
    <mergeCell ref="B2:G2"/>
    <mergeCell ref="B3:G3"/>
    <mergeCell ref="B5:G5"/>
    <mergeCell ref="B14:G14"/>
  </mergeCells>
  <conditionalFormatting sqref="C17:G21">
    <cfRule type="colorScale" priority="2">
      <colorScale>
        <cfvo type="min" val="0"/>
        <cfvo type="percentile" val="50"/>
        <cfvo type="max" val="0"/>
        <color rgb="FFFFC7CE"/>
        <color rgb="FFFFEB9C"/>
        <color rgb="FFC6EFCE"/>
      </colorScale>
    </cfRule>
  </conditionalFormatting>
  <conditionalFormatting sqref="C8:G12">
    <cfRule type="colorScale" priority="1">
      <colorScale>
        <cfvo type="min" val="0"/>
        <cfvo type="percentile" val="50"/>
        <cfvo type="max" val="0"/>
        <color rgb="FFFFC7CE"/>
        <color rgb="FFFFEB9C"/>
        <color rgb="FFC6EFCE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B89A5B"/>
  </sheetPr>
  <dimension ref="B2:G23"/>
  <sheetViews>
    <sheetView showGridLines="0" workbookViewId="0"/>
  </sheetViews>
  <sheetFormatPr defaultRowHeight="15"/>
  <cols>
    <col min="1" max="1" width="2.7109375" customWidth="1"/>
    <col min="2" max="2" width="22.7109375" customWidth="1"/>
    <col min="3" max="7" width="14.7109375" customWidth="1"/>
  </cols>
  <sheetData>
    <row r="2" spans="2:7">
      <c r="B2" s="4" t="s">
        <v>49</v>
      </c>
      <c r="C2" s="4"/>
      <c r="D2" s="4"/>
      <c r="E2" s="4"/>
      <c r="F2" s="4"/>
      <c r="G2" s="4"/>
    </row>
    <row r="3" spans="2:7">
      <c r="B3" s="5" t="s">
        <v>50</v>
      </c>
      <c r="C3" s="5"/>
      <c r="D3" s="5"/>
      <c r="E3" s="5"/>
      <c r="F3" s="5"/>
      <c r="G3" s="5"/>
    </row>
    <row r="5" spans="2:7">
      <c r="B5" s="6" t="s">
        <v>51</v>
      </c>
      <c r="C5" s="6"/>
      <c r="D5" s="6"/>
      <c r="E5" s="6"/>
      <c r="F5" s="6"/>
      <c r="G5" s="6"/>
    </row>
    <row r="7" spans="2:7">
      <c r="B7" s="14" t="s">
        <v>52</v>
      </c>
      <c r="C7" s="16">
        <v>0.01</v>
      </c>
      <c r="D7" s="16">
        <v>0.02</v>
      </c>
      <c r="E7" s="16">
        <v>0.03</v>
      </c>
      <c r="F7" s="16">
        <v>0.04</v>
      </c>
      <c r="G7" s="16">
        <v>0.05</v>
      </c>
    </row>
    <row r="8" spans="2:7">
      <c r="B8" s="16">
        <f>sa_exit_cap+-0.0075</f>
        <v>0</v>
      </c>
      <c r="C8" s="7">
        <f>sa_noi*(1+0.01)^(sa_hold_years-3)/(sa_exit_cap+-0.0075)*(1-sa_sale_costs)</f>
        <v>0</v>
      </c>
      <c r="D8" s="7">
        <f>sa_noi*(1+0.02)^(sa_hold_years-3)/(sa_exit_cap+-0.0075)*(1-sa_sale_costs)</f>
        <v>0</v>
      </c>
      <c r="E8" s="7">
        <f>sa_noi*(1+0.03)^(sa_hold_years-3)/(sa_exit_cap+-0.0075)*(1-sa_sale_costs)</f>
        <v>0</v>
      </c>
      <c r="F8" s="7">
        <f>sa_noi*(1+0.04)^(sa_hold_years-3)/(sa_exit_cap+-0.0075)*(1-sa_sale_costs)</f>
        <v>0</v>
      </c>
      <c r="G8" s="7">
        <f>sa_noi*(1+0.05)^(sa_hold_years-3)/(sa_exit_cap+-0.0075)*(1-sa_sale_costs)</f>
        <v>0</v>
      </c>
    </row>
    <row r="9" spans="2:7">
      <c r="B9" s="16">
        <f>sa_exit_cap+-0.0025</f>
        <v>0</v>
      </c>
      <c r="C9" s="7">
        <f>sa_noi*(1+0.01)^(sa_hold_years-3)/(sa_exit_cap+-0.0025)*(1-sa_sale_costs)</f>
        <v>0</v>
      </c>
      <c r="D9" s="7">
        <f>sa_noi*(1+0.02)^(sa_hold_years-3)/(sa_exit_cap+-0.0025)*(1-sa_sale_costs)</f>
        <v>0</v>
      </c>
      <c r="E9" s="7">
        <f>sa_noi*(1+0.03)^(sa_hold_years-3)/(sa_exit_cap+-0.0025)*(1-sa_sale_costs)</f>
        <v>0</v>
      </c>
      <c r="F9" s="7">
        <f>sa_noi*(1+0.04)^(sa_hold_years-3)/(sa_exit_cap+-0.0025)*(1-sa_sale_costs)</f>
        <v>0</v>
      </c>
      <c r="G9" s="7">
        <f>sa_noi*(1+0.05)^(sa_hold_years-3)/(sa_exit_cap+-0.0025)*(1-sa_sale_costs)</f>
        <v>0</v>
      </c>
    </row>
    <row r="10" spans="2:7">
      <c r="B10" s="16">
        <f>sa_exit_cap+0</f>
        <v>0</v>
      </c>
      <c r="C10" s="7">
        <f>sa_noi*(1+0.01)^(sa_hold_years-3)/(sa_exit_cap+0)*(1-sa_sale_costs)</f>
        <v>0</v>
      </c>
      <c r="D10" s="7">
        <f>sa_noi*(1+0.02)^(sa_hold_years-3)/(sa_exit_cap+0)*(1-sa_sale_costs)</f>
        <v>0</v>
      </c>
      <c r="E10" s="7">
        <f>sa_noi*(1+0.03)^(sa_hold_years-3)/(sa_exit_cap+0)*(1-sa_sale_costs)</f>
        <v>0</v>
      </c>
      <c r="F10" s="7">
        <f>sa_noi*(1+0.04)^(sa_hold_years-3)/(sa_exit_cap+0)*(1-sa_sale_costs)</f>
        <v>0</v>
      </c>
      <c r="G10" s="7">
        <f>sa_noi*(1+0.05)^(sa_hold_years-3)/(sa_exit_cap+0)*(1-sa_sale_costs)</f>
        <v>0</v>
      </c>
    </row>
    <row r="11" spans="2:7">
      <c r="B11" s="16">
        <f>sa_exit_cap+0.0025</f>
        <v>0</v>
      </c>
      <c r="C11" s="7">
        <f>sa_noi*(1+0.01)^(sa_hold_years-3)/(sa_exit_cap+0.0025)*(1-sa_sale_costs)</f>
        <v>0</v>
      </c>
      <c r="D11" s="7">
        <f>sa_noi*(1+0.02)^(sa_hold_years-3)/(sa_exit_cap+0.0025)*(1-sa_sale_costs)</f>
        <v>0</v>
      </c>
      <c r="E11" s="7">
        <f>sa_noi*(1+0.03)^(sa_hold_years-3)/(sa_exit_cap+0.0025)*(1-sa_sale_costs)</f>
        <v>0</v>
      </c>
      <c r="F11" s="7">
        <f>sa_noi*(1+0.04)^(sa_hold_years-3)/(sa_exit_cap+0.0025)*(1-sa_sale_costs)</f>
        <v>0</v>
      </c>
      <c r="G11" s="7">
        <f>sa_noi*(1+0.05)^(sa_hold_years-3)/(sa_exit_cap+0.0025)*(1-sa_sale_costs)</f>
        <v>0</v>
      </c>
    </row>
    <row r="12" spans="2:7">
      <c r="B12" s="16">
        <f>sa_exit_cap+0.0075</f>
        <v>0</v>
      </c>
      <c r="C12" s="7">
        <f>sa_noi*(1+0.01)^(sa_hold_years-3)/(sa_exit_cap+0.0075)*(1-sa_sale_costs)</f>
        <v>0</v>
      </c>
      <c r="D12" s="7">
        <f>sa_noi*(1+0.02)^(sa_hold_years-3)/(sa_exit_cap+0.0075)*(1-sa_sale_costs)</f>
        <v>0</v>
      </c>
      <c r="E12" s="7">
        <f>sa_noi*(1+0.03)^(sa_hold_years-3)/(sa_exit_cap+0.0075)*(1-sa_sale_costs)</f>
        <v>0</v>
      </c>
      <c r="F12" s="7">
        <f>sa_noi*(1+0.04)^(sa_hold_years-3)/(sa_exit_cap+0.0075)*(1-sa_sale_costs)</f>
        <v>0</v>
      </c>
      <c r="G12" s="7">
        <f>sa_noi*(1+0.05)^(sa_hold_years-3)/(sa_exit_cap+0.0075)*(1-sa_sale_costs)</f>
        <v>0</v>
      </c>
    </row>
    <row r="14" spans="2:7">
      <c r="B14" s="6" t="s">
        <v>53</v>
      </c>
      <c r="C14" s="6"/>
      <c r="D14" s="6"/>
      <c r="E14" s="6"/>
      <c r="F14" s="6"/>
      <c r="G14" s="6"/>
    </row>
    <row r="16" spans="2:7">
      <c r="B16" s="14" t="s">
        <v>52</v>
      </c>
      <c r="C16" s="16">
        <v>0.01</v>
      </c>
      <c r="D16" s="16">
        <v>0.02</v>
      </c>
      <c r="E16" s="16">
        <v>0.03</v>
      </c>
      <c r="F16" s="16">
        <v>0.04</v>
      </c>
      <c r="G16" s="16">
        <v>0.05</v>
      </c>
    </row>
    <row r="17" spans="2:7">
      <c r="B17" s="16">
        <f>sa_exit_cap+-0.0075</f>
        <v>0</v>
      </c>
      <c r="C17" s="18">
        <f>IFERROR((sa_noi*(1+0.01)^(sa_hold_years-3)/(sa_exit_cap+-0.0075)*(1-sa_sale_costs)-sa_loan)/sa_equity, 0)</f>
        <v>0</v>
      </c>
      <c r="D17" s="18">
        <f>IFERROR((sa_noi*(1+0.02)^(sa_hold_years-3)/(sa_exit_cap+-0.0075)*(1-sa_sale_costs)-sa_loan)/sa_equity, 0)</f>
        <v>0</v>
      </c>
      <c r="E17" s="18">
        <f>IFERROR((sa_noi*(1+0.03)^(sa_hold_years-3)/(sa_exit_cap+-0.0075)*(1-sa_sale_costs)-sa_loan)/sa_equity, 0)</f>
        <v>0</v>
      </c>
      <c r="F17" s="18">
        <f>IFERROR((sa_noi*(1+0.04)^(sa_hold_years-3)/(sa_exit_cap+-0.0075)*(1-sa_sale_costs)-sa_loan)/sa_equity, 0)</f>
        <v>0</v>
      </c>
      <c r="G17" s="18">
        <f>IFERROR((sa_noi*(1+0.05)^(sa_hold_years-3)/(sa_exit_cap+-0.0075)*(1-sa_sale_costs)-sa_loan)/sa_equity, 0)</f>
        <v>0</v>
      </c>
    </row>
    <row r="18" spans="2:7">
      <c r="B18" s="16">
        <f>sa_exit_cap+-0.0025</f>
        <v>0</v>
      </c>
      <c r="C18" s="18">
        <f>IFERROR((sa_noi*(1+0.01)^(sa_hold_years-3)/(sa_exit_cap+-0.0025)*(1-sa_sale_costs)-sa_loan)/sa_equity, 0)</f>
        <v>0</v>
      </c>
      <c r="D18" s="18">
        <f>IFERROR((sa_noi*(1+0.02)^(sa_hold_years-3)/(sa_exit_cap+-0.0025)*(1-sa_sale_costs)-sa_loan)/sa_equity, 0)</f>
        <v>0</v>
      </c>
      <c r="E18" s="18">
        <f>IFERROR((sa_noi*(1+0.03)^(sa_hold_years-3)/(sa_exit_cap+-0.0025)*(1-sa_sale_costs)-sa_loan)/sa_equity, 0)</f>
        <v>0</v>
      </c>
      <c r="F18" s="18">
        <f>IFERROR((sa_noi*(1+0.04)^(sa_hold_years-3)/(sa_exit_cap+-0.0025)*(1-sa_sale_costs)-sa_loan)/sa_equity, 0)</f>
        <v>0</v>
      </c>
      <c r="G18" s="18">
        <f>IFERROR((sa_noi*(1+0.05)^(sa_hold_years-3)/(sa_exit_cap+-0.0025)*(1-sa_sale_costs)-sa_loan)/sa_equity, 0)</f>
        <v>0</v>
      </c>
    </row>
    <row r="19" spans="2:7">
      <c r="B19" s="16">
        <f>sa_exit_cap+0</f>
        <v>0</v>
      </c>
      <c r="C19" s="18">
        <f>IFERROR((sa_noi*(1+0.01)^(sa_hold_years-3)/(sa_exit_cap+0)*(1-sa_sale_costs)-sa_loan)/sa_equity, 0)</f>
        <v>0</v>
      </c>
      <c r="D19" s="18">
        <f>IFERROR((sa_noi*(1+0.02)^(sa_hold_years-3)/(sa_exit_cap+0)*(1-sa_sale_costs)-sa_loan)/sa_equity, 0)</f>
        <v>0</v>
      </c>
      <c r="E19" s="18">
        <f>IFERROR((sa_noi*(1+0.03)^(sa_hold_years-3)/(sa_exit_cap+0)*(1-sa_sale_costs)-sa_loan)/sa_equity, 0)</f>
        <v>0</v>
      </c>
      <c r="F19" s="18">
        <f>IFERROR((sa_noi*(1+0.04)^(sa_hold_years-3)/(sa_exit_cap+0)*(1-sa_sale_costs)-sa_loan)/sa_equity, 0)</f>
        <v>0</v>
      </c>
      <c r="G19" s="18">
        <f>IFERROR((sa_noi*(1+0.05)^(sa_hold_years-3)/(sa_exit_cap+0)*(1-sa_sale_costs)-sa_loan)/sa_equity, 0)</f>
        <v>0</v>
      </c>
    </row>
    <row r="20" spans="2:7">
      <c r="B20" s="16">
        <f>sa_exit_cap+0.0025</f>
        <v>0</v>
      </c>
      <c r="C20" s="18">
        <f>IFERROR((sa_noi*(1+0.01)^(sa_hold_years-3)/(sa_exit_cap+0.0025)*(1-sa_sale_costs)-sa_loan)/sa_equity, 0)</f>
        <v>0</v>
      </c>
      <c r="D20" s="18">
        <f>IFERROR((sa_noi*(1+0.02)^(sa_hold_years-3)/(sa_exit_cap+0.0025)*(1-sa_sale_costs)-sa_loan)/sa_equity, 0)</f>
        <v>0</v>
      </c>
      <c r="E20" s="18">
        <f>IFERROR((sa_noi*(1+0.03)^(sa_hold_years-3)/(sa_exit_cap+0.0025)*(1-sa_sale_costs)-sa_loan)/sa_equity, 0)</f>
        <v>0</v>
      </c>
      <c r="F20" s="18">
        <f>IFERROR((sa_noi*(1+0.04)^(sa_hold_years-3)/(sa_exit_cap+0.0025)*(1-sa_sale_costs)-sa_loan)/sa_equity, 0)</f>
        <v>0</v>
      </c>
      <c r="G20" s="18">
        <f>IFERROR((sa_noi*(1+0.05)^(sa_hold_years-3)/(sa_exit_cap+0.0025)*(1-sa_sale_costs)-sa_loan)/sa_equity, 0)</f>
        <v>0</v>
      </c>
    </row>
    <row r="21" spans="2:7">
      <c r="B21" s="16">
        <f>sa_exit_cap+0.0075</f>
        <v>0</v>
      </c>
      <c r="C21" s="18">
        <f>IFERROR((sa_noi*(1+0.01)^(sa_hold_years-3)/(sa_exit_cap+0.0075)*(1-sa_sale_costs)-sa_loan)/sa_equity, 0)</f>
        <v>0</v>
      </c>
      <c r="D21" s="18">
        <f>IFERROR((sa_noi*(1+0.02)^(sa_hold_years-3)/(sa_exit_cap+0.0075)*(1-sa_sale_costs)-sa_loan)/sa_equity, 0)</f>
        <v>0</v>
      </c>
      <c r="E21" s="18">
        <f>IFERROR((sa_noi*(1+0.03)^(sa_hold_years-3)/(sa_exit_cap+0.0075)*(1-sa_sale_costs)-sa_loan)/sa_equity, 0)</f>
        <v>0</v>
      </c>
      <c r="F21" s="18">
        <f>IFERROR((sa_noi*(1+0.04)^(sa_hold_years-3)/(sa_exit_cap+0.0075)*(1-sa_sale_costs)-sa_loan)/sa_equity, 0)</f>
        <v>0</v>
      </c>
      <c r="G21" s="18">
        <f>IFERROR((sa_noi*(1+0.05)^(sa_hold_years-3)/(sa_exit_cap+0.0075)*(1-sa_sale_costs)-sa_loan)/sa_equity, 0)</f>
        <v>0</v>
      </c>
    </row>
    <row r="23" spans="2:7">
      <c r="B23" s="2" t="s">
        <v>54</v>
      </c>
    </row>
  </sheetData>
  <mergeCells count="4">
    <mergeCell ref="B2:G2"/>
    <mergeCell ref="B3:G3"/>
    <mergeCell ref="B5:G5"/>
    <mergeCell ref="B14:G14"/>
  </mergeCells>
  <conditionalFormatting sqref="C17:G21">
    <cfRule type="colorScale" priority="2">
      <colorScale>
        <cfvo type="min" val="0"/>
        <cfvo type="percentile" val="50"/>
        <cfvo type="max" val="0"/>
        <color rgb="FFFFC7CE"/>
        <color rgb="FFFFEB9C"/>
        <color rgb="FFC6EFCE"/>
      </colorScale>
    </cfRule>
  </conditionalFormatting>
  <conditionalFormatting sqref="C8:G12">
    <cfRule type="colorScale" priority="1">
      <colorScale>
        <cfvo type="min" val="0"/>
        <cfvo type="percentile" val="50"/>
        <cfvo type="max" val="0"/>
        <color rgb="FFFFC7CE"/>
        <color rgb="FFFFEB9C"/>
        <color rgb="FFC6EFCE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6E1E2F"/>
  </sheetPr>
  <dimension ref="B2:G12"/>
  <sheetViews>
    <sheetView showGridLines="0" workbookViewId="0"/>
  </sheetViews>
  <sheetFormatPr defaultRowHeight="15"/>
  <cols>
    <col min="1" max="1" width="2.7109375" customWidth="1"/>
    <col min="2" max="2" width="22.7109375" customWidth="1"/>
    <col min="3" max="7" width="14.7109375" customWidth="1"/>
  </cols>
  <sheetData>
    <row r="2" spans="2:7">
      <c r="B2" s="4" t="s">
        <v>55</v>
      </c>
      <c r="C2" s="4"/>
      <c r="D2" s="4"/>
      <c r="E2" s="4"/>
      <c r="F2" s="4"/>
      <c r="G2" s="4"/>
    </row>
    <row r="3" spans="2:7">
      <c r="B3" s="5" t="s">
        <v>56</v>
      </c>
      <c r="C3" s="5"/>
      <c r="D3" s="5"/>
      <c r="E3" s="5"/>
      <c r="F3" s="5"/>
      <c r="G3" s="5"/>
    </row>
    <row r="5" spans="2:7">
      <c r="B5" s="6" t="s">
        <v>57</v>
      </c>
      <c r="C5" s="6"/>
      <c r="D5" s="6"/>
      <c r="E5" s="6"/>
      <c r="F5" s="6"/>
      <c r="G5" s="6"/>
    </row>
    <row r="7" spans="2:7">
      <c r="B7" s="14" t="s">
        <v>58</v>
      </c>
      <c r="C7" s="16">
        <v>0</v>
      </c>
      <c r="D7" s="16">
        <v>0.05</v>
      </c>
      <c r="E7" s="16">
        <v>0.1</v>
      </c>
      <c r="F7" s="16">
        <v>0.15</v>
      </c>
      <c r="G7" s="16">
        <v>0.2</v>
      </c>
    </row>
    <row r="8" spans="2:7">
      <c r="B8" s="16">
        <v>0.03</v>
      </c>
      <c r="C8" s="7">
        <f>MAX(0,(0-0.03)*sa_tpc*0.70)</f>
        <v>0</v>
      </c>
      <c r="D8" s="7">
        <f>MAX(0,(0.05-0.03)*sa_tpc*0.70)</f>
        <v>0</v>
      </c>
      <c r="E8" s="7">
        <f>MAX(0,(0.1-0.03)*sa_tpc*0.70)</f>
        <v>0</v>
      </c>
      <c r="F8" s="7">
        <f>MAX(0,(0.15-0.03)*sa_tpc*0.70)</f>
        <v>0</v>
      </c>
      <c r="G8" s="7">
        <f>MAX(0,(0.2-0.03)*sa_tpc*0.70)</f>
        <v>0</v>
      </c>
    </row>
    <row r="9" spans="2:7">
      <c r="B9" s="16">
        <v>0.05</v>
      </c>
      <c r="C9" s="7">
        <f>MAX(0,(0-0.05)*sa_tpc*0.70)</f>
        <v>0</v>
      </c>
      <c r="D9" s="7">
        <f>MAX(0,(0.05-0.05)*sa_tpc*0.70)</f>
        <v>0</v>
      </c>
      <c r="E9" s="7">
        <f>MAX(0,(0.1-0.05)*sa_tpc*0.70)</f>
        <v>0</v>
      </c>
      <c r="F9" s="7">
        <f>MAX(0,(0.15-0.05)*sa_tpc*0.70)</f>
        <v>0</v>
      </c>
      <c r="G9" s="7">
        <f>MAX(0,(0.2-0.05)*sa_tpc*0.70)</f>
        <v>0</v>
      </c>
    </row>
    <row r="10" spans="2:7">
      <c r="B10" s="16">
        <v>0.07000000000000001</v>
      </c>
      <c r="C10" s="7">
        <f>MAX(0,(0-0.07)*sa_tpc*0.70)</f>
        <v>0</v>
      </c>
      <c r="D10" s="7">
        <f>MAX(0,(0.05-0.07)*sa_tpc*0.70)</f>
        <v>0</v>
      </c>
      <c r="E10" s="7">
        <f>MAX(0,(0.1-0.07)*sa_tpc*0.70)</f>
        <v>0</v>
      </c>
      <c r="F10" s="7">
        <f>MAX(0,(0.15-0.07)*sa_tpc*0.70)</f>
        <v>0</v>
      </c>
      <c r="G10" s="7">
        <f>MAX(0,(0.2-0.07)*sa_tpc*0.70)</f>
        <v>0</v>
      </c>
    </row>
    <row r="11" spans="2:7">
      <c r="B11" s="16">
        <v>0.1</v>
      </c>
      <c r="C11" s="7">
        <f>MAX(0,(0-0.1)*sa_tpc*0.70)</f>
        <v>0</v>
      </c>
      <c r="D11" s="7">
        <f>MAX(0,(0.05-0.1)*sa_tpc*0.70)</f>
        <v>0</v>
      </c>
      <c r="E11" s="7">
        <f>MAX(0,(0.1-0.1)*sa_tpc*0.70)</f>
        <v>0</v>
      </c>
      <c r="F11" s="7">
        <f>MAX(0,(0.15-0.1)*sa_tpc*0.70)</f>
        <v>0</v>
      </c>
      <c r="G11" s="7">
        <f>MAX(0,(0.2-0.1)*sa_tpc*0.70)</f>
        <v>0</v>
      </c>
    </row>
    <row r="12" spans="2:7">
      <c r="B12" s="16">
        <v>0.15</v>
      </c>
      <c r="C12" s="7">
        <f>MAX(0,(0-0.15)*sa_tpc*0.70)</f>
        <v>0</v>
      </c>
      <c r="D12" s="7">
        <f>MAX(0,(0.05-0.15)*sa_tpc*0.70)</f>
        <v>0</v>
      </c>
      <c r="E12" s="7">
        <f>MAX(0,(0.1-0.15)*sa_tpc*0.70)</f>
        <v>0</v>
      </c>
      <c r="F12" s="7">
        <f>MAX(0,(0.15-0.15)*sa_tpc*0.70)</f>
        <v>0</v>
      </c>
      <c r="G12" s="7">
        <f>MAX(0,(0.2-0.15)*sa_tpc*0.70)</f>
        <v>0</v>
      </c>
    </row>
  </sheetData>
  <mergeCells count="3">
    <mergeCell ref="B2:G2"/>
    <mergeCell ref="B3:G3"/>
    <mergeCell ref="B5:G5"/>
  </mergeCells>
  <conditionalFormatting sqref="C8:G12">
    <cfRule type="colorScale" priority="1">
      <colorScale>
        <cfvo type="min" val="0"/>
        <cfvo type="percentile" val="50"/>
        <cfvo type="max" val="0"/>
        <color rgb="FFC6EFCE"/>
        <color rgb="FFFFEB9C"/>
        <color rgb="FFFFC7CE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B89A5B"/>
  </sheetPr>
  <dimension ref="B2:G12"/>
  <sheetViews>
    <sheetView showGridLines="0" workbookViewId="0"/>
  </sheetViews>
  <sheetFormatPr defaultRowHeight="15"/>
  <cols>
    <col min="1" max="1" width="2.7109375" customWidth="1"/>
    <col min="2" max="2" width="22.7109375" customWidth="1"/>
    <col min="3" max="7" width="14.7109375" customWidth="1"/>
  </cols>
  <sheetData>
    <row r="2" spans="2:7">
      <c r="B2" s="4" t="s">
        <v>59</v>
      </c>
      <c r="C2" s="4"/>
      <c r="D2" s="4"/>
      <c r="E2" s="4"/>
      <c r="F2" s="4"/>
      <c r="G2" s="4"/>
    </row>
    <row r="3" spans="2:7">
      <c r="B3" s="5" t="s">
        <v>60</v>
      </c>
      <c r="C3" s="5"/>
      <c r="D3" s="5"/>
      <c r="E3" s="5"/>
      <c r="F3" s="5"/>
      <c r="G3" s="5"/>
    </row>
    <row r="5" spans="2:7">
      <c r="B5" s="6" t="s">
        <v>61</v>
      </c>
      <c r="C5" s="6"/>
      <c r="D5" s="6"/>
      <c r="E5" s="6"/>
      <c r="F5" s="6"/>
      <c r="G5" s="6"/>
    </row>
    <row r="7" spans="2:7">
      <c r="B7" s="14" t="s">
        <v>62</v>
      </c>
      <c r="C7" s="15">
        <f>sa_loan*0.95</f>
        <v>0</v>
      </c>
      <c r="D7" s="15">
        <f>sa_loan*0.97</f>
        <v>0</v>
      </c>
      <c r="E7" s="15">
        <f>sa_loan*1.0</f>
        <v>0</v>
      </c>
      <c r="F7" s="15">
        <f>sa_loan*1.03</f>
        <v>0</v>
      </c>
      <c r="G7" s="15">
        <f>sa_loan*1.05</f>
        <v>0</v>
      </c>
    </row>
    <row r="8" spans="2:7">
      <c r="B8" s="15">
        <f>sa_noi*(1+sa_rent_growth)^(sa_hold_years-3)/sa_exit_cap*0.9*(1-sa_sale_costs)</f>
        <v>0</v>
      </c>
      <c r="C8" s="7">
        <f>B8-sa_loan*0.95</f>
        <v>0</v>
      </c>
      <c r="D8" s="7">
        <f>B8-sa_loan*0.97</f>
        <v>0</v>
      </c>
      <c r="E8" s="7">
        <f>B8-sa_loan*1.0</f>
        <v>0</v>
      </c>
      <c r="F8" s="7">
        <f>B8-sa_loan*1.03</f>
        <v>0</v>
      </c>
      <c r="G8" s="7">
        <f>B8-sa_loan*1.05</f>
        <v>0</v>
      </c>
    </row>
    <row r="9" spans="2:7">
      <c r="B9" s="15">
        <f>sa_noi*(1+sa_rent_growth)^(sa_hold_years-3)/sa_exit_cap*0.95*(1-sa_sale_costs)</f>
        <v>0</v>
      </c>
      <c r="C9" s="7">
        <f>B9-sa_loan*0.95</f>
        <v>0</v>
      </c>
      <c r="D9" s="7">
        <f>B9-sa_loan*0.97</f>
        <v>0</v>
      </c>
      <c r="E9" s="7">
        <f>B9-sa_loan*1.0</f>
        <v>0</v>
      </c>
      <c r="F9" s="7">
        <f>B9-sa_loan*1.03</f>
        <v>0</v>
      </c>
      <c r="G9" s="7">
        <f>B9-sa_loan*1.05</f>
        <v>0</v>
      </c>
    </row>
    <row r="10" spans="2:7">
      <c r="B10" s="15">
        <f>sa_noi*(1+sa_rent_growth)^(sa_hold_years-3)/sa_exit_cap*1.0*(1-sa_sale_costs)</f>
        <v>0</v>
      </c>
      <c r="C10" s="7">
        <f>B10-sa_loan*0.95</f>
        <v>0</v>
      </c>
      <c r="D10" s="7">
        <f>B10-sa_loan*0.97</f>
        <v>0</v>
      </c>
      <c r="E10" s="7">
        <f>B10-sa_loan*1.0</f>
        <v>0</v>
      </c>
      <c r="F10" s="7">
        <f>B10-sa_loan*1.03</f>
        <v>0</v>
      </c>
      <c r="G10" s="7">
        <f>B10-sa_loan*1.05</f>
        <v>0</v>
      </c>
    </row>
    <row r="11" spans="2:7">
      <c r="B11" s="15">
        <f>sa_noi*(1+sa_rent_growth)^(sa_hold_years-3)/sa_exit_cap*1.05*(1-sa_sale_costs)</f>
        <v>0</v>
      </c>
      <c r="C11" s="7">
        <f>B11-sa_loan*0.95</f>
        <v>0</v>
      </c>
      <c r="D11" s="7">
        <f>B11-sa_loan*0.97</f>
        <v>0</v>
      </c>
      <c r="E11" s="7">
        <f>B11-sa_loan*1.0</f>
        <v>0</v>
      </c>
      <c r="F11" s="7">
        <f>B11-sa_loan*1.03</f>
        <v>0</v>
      </c>
      <c r="G11" s="7">
        <f>B11-sa_loan*1.05</f>
        <v>0</v>
      </c>
    </row>
    <row r="12" spans="2:7">
      <c r="B12" s="15">
        <f>sa_noi*(1+sa_rent_growth)^(sa_hold_years-3)/sa_exit_cap*1.1*(1-sa_sale_costs)</f>
        <v>0</v>
      </c>
      <c r="C12" s="7">
        <f>B12-sa_loan*0.95</f>
        <v>0</v>
      </c>
      <c r="D12" s="7">
        <f>B12-sa_loan*0.97</f>
        <v>0</v>
      </c>
      <c r="E12" s="7">
        <f>B12-sa_loan*1.0</f>
        <v>0</v>
      </c>
      <c r="F12" s="7">
        <f>B12-sa_loan*1.03</f>
        <v>0</v>
      </c>
      <c r="G12" s="7">
        <f>B12-sa_loan*1.05</f>
        <v>0</v>
      </c>
    </row>
  </sheetData>
  <mergeCells count="3">
    <mergeCell ref="B2:G2"/>
    <mergeCell ref="B3:G3"/>
    <mergeCell ref="B5:G5"/>
  </mergeCells>
  <conditionalFormatting sqref="C8:G12">
    <cfRule type="colorScale" priority="1">
      <colorScale>
        <cfvo type="min" val="0"/>
        <cfvo type="percentile" val="50"/>
        <cfvo type="max" val="0"/>
        <color rgb="FFFFC7CE"/>
        <color rgb="FFFFEB9C"/>
        <color rgb="FFC6EFCE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B1A33"/>
  </sheetPr>
  <dimension ref="B2:C30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3" width="24.7109375" customWidth="1"/>
  </cols>
  <sheetData>
    <row r="2" spans="2:3">
      <c r="B2" s="4" t="s">
        <v>63</v>
      </c>
      <c r="C2" s="4"/>
    </row>
    <row r="3" spans="2:3">
      <c r="B3" s="5" t="s">
        <v>64</v>
      </c>
      <c r="C3" s="5"/>
    </row>
    <row r="5" spans="2:3">
      <c r="B5" s="6" t="s">
        <v>65</v>
      </c>
      <c r="C5" s="6"/>
    </row>
    <row r="6" spans="2:3">
      <c r="B6" s="2" t="s">
        <v>5</v>
      </c>
      <c r="C6" s="7">
        <f>sa_noi</f>
        <v>0</v>
      </c>
    </row>
    <row r="7" spans="2:3">
      <c r="B7" s="2" t="s">
        <v>66</v>
      </c>
      <c r="C7" s="7">
        <f>sa_noi/sa_stab_cap</f>
        <v>0</v>
      </c>
    </row>
    <row r="8" spans="2:3">
      <c r="B8" s="2" t="s">
        <v>67</v>
      </c>
      <c r="C8" s="7">
        <f>sa_noi*(1+sa_rent_growth)^(sa_hold_years-3)/sa_exit_cap</f>
        <v>0</v>
      </c>
    </row>
    <row r="9" spans="2:3">
      <c r="B9" s="2" t="s">
        <v>9</v>
      </c>
      <c r="C9" s="7">
        <f>sa_loan</f>
        <v>0</v>
      </c>
    </row>
    <row r="10" spans="2:3">
      <c r="B10" s="2" t="s">
        <v>68</v>
      </c>
      <c r="C10" s="18">
        <f>sa_noi/sa_loan</f>
        <v>0</v>
      </c>
    </row>
    <row r="11" spans="2:3">
      <c r="B11" s="2" t="s">
        <v>69</v>
      </c>
      <c r="C11" s="19">
        <f>sa_noi/(sa_loan*(-PMT(sa_rate/12,sa_amort,1)*12))</f>
        <v>0</v>
      </c>
    </row>
    <row r="13" spans="2:3">
      <c r="B13" s="6" t="s">
        <v>70</v>
      </c>
      <c r="C13" s="6"/>
    </row>
    <row r="14" spans="2:3">
      <c r="B14" s="2" t="s">
        <v>71</v>
      </c>
      <c r="C14" s="7">
        <f>sa_noi*(1+(sa_rent_growth-0.01))^(sa_hold_years-3)/(sa_exit_cap+0.005)</f>
        <v>0</v>
      </c>
    </row>
    <row r="15" spans="2:3">
      <c r="B15" s="2" t="s">
        <v>72</v>
      </c>
      <c r="C15" s="7">
        <f>C14-C8</f>
        <v>0</v>
      </c>
    </row>
    <row r="17" spans="2:3">
      <c r="B17" s="6" t="s">
        <v>73</v>
      </c>
      <c r="C17" s="6"/>
    </row>
    <row r="18" spans="2:3">
      <c r="B18" s="2" t="s">
        <v>74</v>
      </c>
      <c r="C18" s="7">
        <f>sa_noi*(1+(sa_rent_growth+0.01))^(sa_hold_years-3)/(sa_exit_cap-0.0025)</f>
        <v>0</v>
      </c>
    </row>
    <row r="19" spans="2:3">
      <c r="B19" s="2" t="s">
        <v>75</v>
      </c>
      <c r="C19" s="7">
        <f>C18-C8</f>
        <v>0</v>
      </c>
    </row>
    <row r="21" spans="2:3">
      <c r="B21" s="6" t="s">
        <v>76</v>
      </c>
      <c r="C21" s="6"/>
    </row>
    <row r="22" spans="2:3">
      <c r="B22" s="7" t="s">
        <v>77</v>
      </c>
      <c r="C22" s="7"/>
    </row>
    <row r="23" spans="2:3">
      <c r="B23" s="7"/>
      <c r="C23" s="7"/>
    </row>
    <row r="24" spans="2:3">
      <c r="B24" s="7"/>
      <c r="C24" s="7"/>
    </row>
    <row r="26" spans="2:3">
      <c r="B26" s="6" t="s">
        <v>78</v>
      </c>
      <c r="C26" s="6"/>
    </row>
    <row r="27" spans="2:3">
      <c r="B27" s="14" t="s">
        <v>79</v>
      </c>
      <c r="C27" s="14" t="s">
        <v>80</v>
      </c>
    </row>
    <row r="28" spans="2:3">
      <c r="B28" s="2" t="s">
        <v>81</v>
      </c>
      <c r="C28" s="7">
        <f>C18</f>
        <v>0</v>
      </c>
    </row>
    <row r="29" spans="2:3">
      <c r="B29" s="2" t="s">
        <v>82</v>
      </c>
      <c r="C29" s="7">
        <f>C8</f>
        <v>0</v>
      </c>
    </row>
    <row r="30" spans="2:3">
      <c r="B30" s="2" t="s">
        <v>83</v>
      </c>
      <c r="C30" s="7">
        <f>C14</f>
        <v>0</v>
      </c>
    </row>
  </sheetData>
  <mergeCells count="8">
    <mergeCell ref="B2:C2"/>
    <mergeCell ref="B3:C3"/>
    <mergeCell ref="B5:C5"/>
    <mergeCell ref="B13:C13"/>
    <mergeCell ref="B17:C17"/>
    <mergeCell ref="B21:C21"/>
    <mergeCell ref="B22:C24"/>
    <mergeCell ref="B26:C26"/>
  </mergeCells>
  <pageMargins left="0.5" right="0.5" top="0.5" bottom="0.5" header="0.3" footer="0.3"/>
  <pageSetup paperSize="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87</vt:i4>
      </vt:variant>
    </vt:vector>
  </HeadingPairs>
  <TitlesOfParts>
    <vt:vector size="96" baseType="lpstr">
      <vt:lpstr>Presets</vt:lpstr>
      <vt:lpstr>Instructions</vt:lpstr>
      <vt:lpstr>Base Inputs</vt:lpstr>
      <vt:lpstr>Valuation</vt:lpstr>
      <vt:lpstr>Loan Sizing</vt:lpstr>
      <vt:lpstr>Returns</vt:lpstr>
      <vt:lpstr>Construction Risk</vt:lpstr>
      <vt:lpstr>Refi Exit</vt:lpstr>
      <vt:lpstr>IC Output</vt:lpstr>
      <vt:lpstr>preset_1_amort</vt:lpstr>
      <vt:lpstr>preset_1_dscr_min</vt:lpstr>
      <vt:lpstr>preset_1_dy_min</vt:lpstr>
      <vt:lpstr>preset_1_equity</vt:lpstr>
      <vt:lpstr>preset_1_exit_cap</vt:lpstr>
      <vt:lpstr>preset_1_expense_growth</vt:lpstr>
      <vt:lpstr>preset_1_hold_years</vt:lpstr>
      <vt:lpstr>preset_1_loan</vt:lpstr>
      <vt:lpstr>preset_1_ltc_max</vt:lpstr>
      <vt:lpstr>preset_1_ltv_max</vt:lpstr>
      <vt:lpstr>preset_1_noi</vt:lpstr>
      <vt:lpstr>preset_1_rate</vt:lpstr>
      <vt:lpstr>preset_1_rent_growth</vt:lpstr>
      <vt:lpstr>preset_1_sale_costs</vt:lpstr>
      <vt:lpstr>preset_1_stab_cap</vt:lpstr>
      <vt:lpstr>preset_1_tpc</vt:lpstr>
      <vt:lpstr>preset_1_vacancy</vt:lpstr>
      <vt:lpstr>preset_2_amort</vt:lpstr>
      <vt:lpstr>preset_2_dscr_min</vt:lpstr>
      <vt:lpstr>preset_2_dy_min</vt:lpstr>
      <vt:lpstr>preset_2_equity</vt:lpstr>
      <vt:lpstr>preset_2_exit_cap</vt:lpstr>
      <vt:lpstr>preset_2_expense_growth</vt:lpstr>
      <vt:lpstr>preset_2_hold_years</vt:lpstr>
      <vt:lpstr>preset_2_loan</vt:lpstr>
      <vt:lpstr>preset_2_ltc_max</vt:lpstr>
      <vt:lpstr>preset_2_ltv_max</vt:lpstr>
      <vt:lpstr>preset_2_noi</vt:lpstr>
      <vt:lpstr>preset_2_rate</vt:lpstr>
      <vt:lpstr>preset_2_rent_growth</vt:lpstr>
      <vt:lpstr>preset_2_sale_costs</vt:lpstr>
      <vt:lpstr>preset_2_stab_cap</vt:lpstr>
      <vt:lpstr>preset_2_tpc</vt:lpstr>
      <vt:lpstr>preset_2_vacancy</vt:lpstr>
      <vt:lpstr>preset_3_amort</vt:lpstr>
      <vt:lpstr>preset_3_dscr_min</vt:lpstr>
      <vt:lpstr>preset_3_dy_min</vt:lpstr>
      <vt:lpstr>preset_3_equity</vt:lpstr>
      <vt:lpstr>preset_3_exit_cap</vt:lpstr>
      <vt:lpstr>preset_3_expense_growth</vt:lpstr>
      <vt:lpstr>preset_3_hold_years</vt:lpstr>
      <vt:lpstr>preset_3_loan</vt:lpstr>
      <vt:lpstr>preset_3_ltc_max</vt:lpstr>
      <vt:lpstr>preset_3_ltv_max</vt:lpstr>
      <vt:lpstr>preset_3_noi</vt:lpstr>
      <vt:lpstr>preset_3_rate</vt:lpstr>
      <vt:lpstr>preset_3_rent_growth</vt:lpstr>
      <vt:lpstr>preset_3_sale_costs</vt:lpstr>
      <vt:lpstr>preset_3_stab_cap</vt:lpstr>
      <vt:lpstr>preset_3_tpc</vt:lpstr>
      <vt:lpstr>preset_3_vacancy</vt:lpstr>
      <vt:lpstr>preset_4_amort</vt:lpstr>
      <vt:lpstr>preset_4_dscr_min</vt:lpstr>
      <vt:lpstr>preset_4_dy_min</vt:lpstr>
      <vt:lpstr>preset_4_equity</vt:lpstr>
      <vt:lpstr>preset_4_exit_cap</vt:lpstr>
      <vt:lpstr>preset_4_expense_growth</vt:lpstr>
      <vt:lpstr>preset_4_hold_years</vt:lpstr>
      <vt:lpstr>preset_4_loan</vt:lpstr>
      <vt:lpstr>preset_4_ltc_max</vt:lpstr>
      <vt:lpstr>preset_4_ltv_max</vt:lpstr>
      <vt:lpstr>preset_4_noi</vt:lpstr>
      <vt:lpstr>preset_4_rate</vt:lpstr>
      <vt:lpstr>preset_4_rent_growth</vt:lpstr>
      <vt:lpstr>preset_4_sale_costs</vt:lpstr>
      <vt:lpstr>preset_4_stab_cap</vt:lpstr>
      <vt:lpstr>preset_4_tpc</vt:lpstr>
      <vt:lpstr>preset_4_vacancy</vt:lpstr>
      <vt:lpstr>'IC Output'!Print_Area</vt:lpstr>
      <vt:lpstr>sa_amort</vt:lpstr>
      <vt:lpstr>sa_deal_type</vt:lpstr>
      <vt:lpstr>sa_dscr_min</vt:lpstr>
      <vt:lpstr>sa_dy_min</vt:lpstr>
      <vt:lpstr>sa_equity</vt:lpstr>
      <vt:lpstr>sa_exit_cap</vt:lpstr>
      <vt:lpstr>sa_expense_growth</vt:lpstr>
      <vt:lpstr>sa_hold_years</vt:lpstr>
      <vt:lpstr>sa_loan</vt:lpstr>
      <vt:lpstr>sa_ltc_max</vt:lpstr>
      <vt:lpstr>sa_ltv_max</vt:lpstr>
      <vt:lpstr>sa_noi</vt:lpstr>
      <vt:lpstr>sa_rate</vt:lpstr>
      <vt:lpstr>sa_rent_growth</vt:lpstr>
      <vt:lpstr>sa_sale_costs</vt:lpstr>
      <vt:lpstr>sa_stab_cap</vt:lpstr>
      <vt:lpstr>sa_tpc</vt:lpstr>
      <vt:lpstr>sa_vacancy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Valore Registry — Sensitivity Analyses</dc:title>
  <dc:subject>CRE prebuilt sensitivity tables</dc:subject>
  <dc:creator>Valore Registry</dc:creator>
  <cp:lastModifiedBy>Valore Registry</cp:lastModifiedBy>
  <dcterms:created xsi:type="dcterms:W3CDTF">2026-05-29T23:40:06Z</dcterms:created>
  <dcterms:modified xsi:type="dcterms:W3CDTF">2026-05-29T23:40:06Z</dcterms:modified>
  <cp:category>CRE Templates</cp:category>
</cp:coreProperties>
</file>