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Inputs" sheetId="2" r:id="rId2"/>
    <sheet name="Program" sheetId="3" r:id="rId3"/>
    <sheet name="Projection" sheetId="4" r:id="rId4"/>
    <sheet name="Market Tax Projection" sheetId="5" r:id="rId5"/>
    <sheet name="Abated Projection" sheetId="6" r:id="rId6"/>
    <sheet name="Benefit Calculation" sheetId="7" r:id="rId7"/>
    <sheet name="Value Impact" sheetId="8" r:id="rId8"/>
    <sheet name="Expiration Shock" sheetId="9" r:id="rId9"/>
    <sheet name="IC Output" sheetId="10" r:id="rId10"/>
  </sheets>
  <definedNames>
    <definedName name="_xlnm.Print_Area" localSheetId="9">'IC Output'!$A$1:$C$26</definedName>
    <definedName name="ta_address">'Inputs'!$C$8</definedName>
    <definedName name="ta_amort">'Inputs'!$C$19</definedName>
    <definedName name="ta_assessment_ratio">'Inputs'!$C$12</definedName>
    <definedName name="ta_asset_type">'Inputs'!$C$9</definedName>
    <definedName name="ta_discount_rate">'Inputs'!$C$16</definedName>
    <definedName name="ta_exempt_y1_20">'Program'!$C$8</definedName>
    <definedName name="ta_loan">'Inputs'!$C$17</definedName>
    <definedName name="ta_market_value">'Inputs'!$C$11</definedName>
    <definedName name="ta_name">'Inputs'!$C$7</definedName>
    <definedName name="ta_npv_savings">'Projection'!$D$38</definedName>
    <definedName name="ta_phase_y21">'Program'!$C$10</definedName>
    <definedName name="ta_phase_y22">'Program'!$C$11</definedName>
    <definedName name="ta_phase_y23">'Program'!$C$12</definedName>
    <definedName name="ta_phase_y24">'Program'!$C$13</definedName>
    <definedName name="ta_phase_y25">'Program'!$C$14</definedName>
    <definedName name="ta_preset">'Program'!$C$6</definedName>
    <definedName name="ta_program_name">'Program'!$C$7</definedName>
    <definedName name="ta_rate">'Inputs'!$C$18</definedName>
    <definedName name="ta_stab_cap">'Inputs'!$C$15</definedName>
    <definedName name="ta_stab_NOI">'Inputs'!$C$14</definedName>
    <definedName name="ta_tax_rate">'Inputs'!$C$13</definedName>
    <definedName name="ta_total_savings">'Projection'!$G$36</definedName>
    <definedName name="ta_units">'Inputs'!$C$10</definedName>
  </definedNames>
  <calcPr calcId="124519" fullCalcOnLoad="1"/>
</workbook>
</file>

<file path=xl/sharedStrings.xml><?xml version="1.0" encoding="utf-8"?>
<sst xmlns="http://schemas.openxmlformats.org/spreadsheetml/2006/main" count="113" uniqueCount="100">
  <si>
    <t>Tax Abatement / PILOT Model · Instructions</t>
  </si>
  <si>
    <t>Version 1.0</t>
  </si>
  <si>
    <t xml:space="preserve">  1. Enter property + tax inputs on Inputs tab.</t>
  </si>
  <si>
    <t xml:space="preserve">  2. Enter abatement program on Program tab (term, exemption %, phase-in/out).</t>
  </si>
  <si>
    <t xml:space="preserve">  3. Market Tax Projection shows full market taxes year-by-year (no abatement).</t>
  </si>
  <si>
    <t xml:space="preserve">  4. Abated Projection shows actual payments under the abatement program.</t>
  </si>
  <si>
    <t xml:space="preserve">  5. Benefit Calculation NPVs the annual savings from abatement.</t>
  </si>
  <si>
    <t xml:space="preserve">  6. Value Impact shows NOI / value uplift from abatement in stabilized year.</t>
  </si>
  <si>
    <t xml:space="preserve">  7. Expiration Shock shows what happens when the abatement ends.</t>
  </si>
  <si>
    <t xml:space="preserve">  8. IC Output prints to one page for investment committee.</t>
  </si>
  <si>
    <t xml:space="preserve">  9. Assumptions: 2% annual market-value growth; end-of-year NPV convention.</t>
  </si>
  <si>
    <t xml:space="preserve">  10. Change Inputs + Program tabs to model different jurisdictions / programs.</t>
  </si>
  <si>
    <t>Property + Tax Inputs</t>
  </si>
  <si>
    <t>INPUTS</t>
  </si>
  <si>
    <t>Property name</t>
  </si>
  <si>
    <t>NYC 421-a Sample Project</t>
  </si>
  <si>
    <t>Address / jurisdiction</t>
  </si>
  <si>
    <t>Bronx, NYC</t>
  </si>
  <si>
    <t>Asset type</t>
  </si>
  <si>
    <t>Multifamily (new construction)</t>
  </si>
  <si>
    <t>Units</t>
  </si>
  <si>
    <t>Full market value</t>
  </si>
  <si>
    <t>Assessment ratio</t>
  </si>
  <si>
    <t>Effective tax rate (per $ assessed)</t>
  </si>
  <si>
    <t>Stabilized NOI (post-abatement)</t>
  </si>
  <si>
    <t>Stabilized cap rate</t>
  </si>
  <si>
    <t>NPV discount rate</t>
  </si>
  <si>
    <t>Loan amount</t>
  </si>
  <si>
    <t>All-in rate</t>
  </si>
  <si>
    <t>Amortization (months)</t>
  </si>
  <si>
    <t>Abatement Program</t>
  </si>
  <si>
    <t>PROGRAM DETAILS</t>
  </si>
  <si>
    <t>Program preset</t>
  </si>
  <si>
    <t>421-a Affordable</t>
  </si>
  <si>
    <t>421-a 25yr</t>
  </si>
  <si>
    <t>IDA PILOT</t>
  </si>
  <si>
    <t>Custom</t>
  </si>
  <si>
    <t>Program name</t>
  </si>
  <si>
    <t>421-a Affordable (25yr)</t>
  </si>
  <si>
    <t>Exemption Y1-Y20</t>
  </si>
  <si>
    <t>Phase Y21 exemption %</t>
  </si>
  <si>
    <t>Phase Y22 exemption %</t>
  </si>
  <si>
    <t>Phase Y23 exemption %</t>
  </si>
  <si>
    <t>Phase Y24 exemption %</t>
  </si>
  <si>
    <t>Phase Y25 exemption %</t>
  </si>
  <si>
    <t>Projection (Calculation Engine)</t>
  </si>
  <si>
    <t>Internal data engine -- see Market Tax Projection, Abated Projection, Benefit Calculation tabs.</t>
  </si>
  <si>
    <t>Year</t>
  </si>
  <si>
    <t>Market value</t>
  </si>
  <si>
    <t>Market taxes</t>
  </si>
  <si>
    <t>Exempt %</t>
  </si>
  <si>
    <t>Abated payment</t>
  </si>
  <si>
    <t>Annual savings</t>
  </si>
  <si>
    <t>Total</t>
  </si>
  <si>
    <t>NPV CALCULATION</t>
  </si>
  <si>
    <t>NPV of 30-year savings (at discount rate)</t>
  </si>
  <si>
    <t>Per-unit NPV benefit</t>
  </si>
  <si>
    <t>Value uplift at stab cap (NPV/cap)</t>
  </si>
  <si>
    <t>Market Tax Projection -- No Abatement</t>
  </si>
  <si>
    <t>30-year full market taxes if no abatement program applied.</t>
  </si>
  <si>
    <t>Full market taxes</t>
  </si>
  <si>
    <t>Abated Projection -- Actual Payments</t>
  </si>
  <si>
    <t>Actual tax payments year-by-year under the abatement program.</t>
  </si>
  <si>
    <t>Benefit Calculation -- NPV Analysis</t>
  </si>
  <si>
    <t>Net present value of 30-year tax savings at the chosen discount rate.</t>
  </si>
  <si>
    <t>NPV SUMMARY</t>
  </si>
  <si>
    <t>Total 30-year gross savings</t>
  </si>
  <si>
    <t>Discount rate used</t>
  </si>
  <si>
    <t>NOI / Value Impact</t>
  </si>
  <si>
    <t>NOI</t>
  </si>
  <si>
    <t>Scenario</t>
  </si>
  <si>
    <t>Value (at cap)</t>
  </si>
  <si>
    <t>vs base</t>
  </si>
  <si>
    <t>With full market taxes (Y1)</t>
  </si>
  <si>
    <t>With abated taxes (Y1)</t>
  </si>
  <si>
    <t>Delta (value uplift from abatement)</t>
  </si>
  <si>
    <t>Expiration Shock -- Year 26+</t>
  </si>
  <si>
    <t>What happens when the abatement ends.</t>
  </si>
  <si>
    <t>POST-EXPIRATION IMPACT (Y26)</t>
  </si>
  <si>
    <t>Y25 tax payment (last phase-out year)</t>
  </si>
  <si>
    <t>Y26 tax payment (full market)</t>
  </si>
  <si>
    <t>Tax increase Y25 to Y26</t>
  </si>
  <si>
    <t>NOI reduction (assumes no rent offset)</t>
  </si>
  <si>
    <t>Value impact at stab cap</t>
  </si>
  <si>
    <t>DSCR impact at full taxes</t>
  </si>
  <si>
    <t>IC Output</t>
  </si>
  <si>
    <t>Single-page summary.</t>
  </si>
  <si>
    <t>PROGRAM</t>
  </si>
  <si>
    <t>Property</t>
  </si>
  <si>
    <t>Program</t>
  </si>
  <si>
    <t>BENEFIT</t>
  </si>
  <si>
    <t>NPV of 30-year savings</t>
  </si>
  <si>
    <t>Per-unit NPV</t>
  </si>
  <si>
    <t>Value uplift at stab cap</t>
  </si>
  <si>
    <t>EXPIRATION RISK</t>
  </si>
  <si>
    <t>Y26 tax jump</t>
  </si>
  <si>
    <t>Y26 value impact</t>
  </si>
  <si>
    <t>Y26 DSCR (post-expiration)</t>
  </si>
  <si>
    <t>UNDERWRITING RECOMMENDATION</t>
  </si>
  <si>
    <t>Bake abatement value through Y20 (full exemption). Underwrite phase-out Y21-Y25 explicitly. Exit by Y15-Y18 to preserve buyer value before phase-out begins -- buyer-side underwriting will discount value once Y21 phase-out is within sight.</t>
  </si>
</sst>
</file>

<file path=xl/styles.xml><?xml version="1.0" encoding="utf-8"?>
<styleSheet xmlns="http://schemas.openxmlformats.org/spreadsheetml/2006/main">
  <numFmts count="5">
    <numFmt numFmtId="164" formatCode="#,##0"/>
    <numFmt numFmtId="165" formatCode="_($* #,##0_);_($* (#,##0);_($* &quot;-&quot;_);_(@_)"/>
    <numFmt numFmtId="166" formatCode="0.00%"/>
    <numFmt numFmtId="167" formatCode="0.0%"/>
    <numFmt numFmtId="168" formatCode="0.00&quot;x&quot;"/>
  </numFmts>
  <fonts count="13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10"/>
      <color rgb="FF1F4E79"/>
      <name val="Calibri"/>
      <family val="2"/>
      <scheme val="minor"/>
    </font>
    <font>
      <b/>
      <sz val="11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8"/>
      <color rgb="FFD8D2C4"/>
      <name val="Calibri"/>
      <family val="2"/>
      <scheme val="minor"/>
    </font>
    <font>
      <b/>
      <sz val="9"/>
      <color rgb="FFFAF6EE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11"/>
      <color rgb="FFB89A5B"/>
      <name val="Calibri"/>
      <family val="2"/>
      <scheme val="minor"/>
    </font>
    <font>
      <b/>
      <sz val="10"/>
      <color rgb="FFFAF6EE"/>
      <name val="Calibri"/>
      <family val="2"/>
      <scheme val="minor"/>
    </font>
    <font>
      <b/>
      <sz val="10"/>
      <color rgb="FFB89A5B"/>
      <name val="Calibri"/>
      <family val="2"/>
      <scheme val="minor"/>
    </font>
    <font>
      <i/>
      <sz val="9"/>
      <color rgb="FF3D475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B1A33"/>
        <bgColor indexed="64"/>
      </patternFill>
    </fill>
    <fill>
      <patternFill patternType="solid">
        <fgColor rgb="FF6E1E2F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 indent="1"/>
    </xf>
    <xf numFmtId="0" fontId="5" fillId="0" borderId="1" xfId="0" applyFont="1" applyBorder="1"/>
    <xf numFmtId="164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6" fillId="0" borderId="0" xfId="0" applyFont="1"/>
    <xf numFmtId="167" fontId="6" fillId="0" borderId="0" xfId="0" applyNumberFormat="1" applyFont="1"/>
    <xf numFmtId="0" fontId="7" fillId="3" borderId="1" xfId="0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10" fillId="4" borderId="1" xfId="0" applyNumberFormat="1" applyFont="1" applyFill="1" applyBorder="1" applyAlignment="1">
      <alignment horizontal="center"/>
    </xf>
    <xf numFmtId="168" fontId="9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0" fontId="1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Market Tax vs Abated Payment - 30-Year View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Market taxes (no abatement)</c:v>
          </c:tx>
          <c:spPr>
            <a:ln w="31750">
              <a:solidFill>
                <a:srgbClr val="6E1E2F"/>
              </a:solidFill>
            </a:ln>
          </c:spPr>
          <c:marker>
            <c:symbol val="none"/>
          </c:marker>
          <c:cat>
            <c:numRef>
              <c:f>'Projection'!$B$6:$B$35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'Projection'!$D$6:$D$35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1"/>
          <c:order val="1"/>
          <c:tx>
            <c:v>Abated payment</c:v>
          </c:tx>
          <c:spPr>
            <a:ln w="31750">
              <a:solidFill>
                <a:srgbClr val="B89A5B"/>
              </a:solidFill>
            </a:ln>
          </c:spPr>
          <c:marker>
            <c:symbol val="none"/>
          </c:marker>
          <c:cat>
            <c:numRef>
              <c:f>'Projection'!$B$6:$B$35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'Projection'!$F$6:$F$35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Annual Tax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Annual Tax Savings - 30-Year Benefit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Annual Tax Savings</c:v>
          </c:tx>
          <c:spPr>
            <a:solidFill>
              <a:srgbClr val="B89A5B"/>
            </a:solidFill>
            <a:ln>
              <a:solidFill>
                <a:srgbClr val="B89A5B"/>
              </a:solidFill>
            </a:ln>
          </c:spPr>
          <c:cat>
            <c:numRef>
              <c:f>'Projection'!$B$6:$B$35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'Projection'!$G$6:$G$35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aseline="0">
                <a:latin typeface="Calibri"/>
              </a:defRPr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Annual Savings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20001"/>
        <c:crosses val="autoZero"/>
        <c:crossBetween val="between"/>
      </c:valAx>
      <c:spPr>
        <a:solidFill>
          <a:srgbClr val="FFFFFF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47625</xdr:rowOff>
    </xdr:from>
    <xdr:to>
      <xdr:col>5</xdr:col>
      <xdr:colOff>419100</xdr:colOff>
      <xdr:row>54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47625</xdr:rowOff>
    </xdr:from>
    <xdr:to>
      <xdr:col>4</xdr:col>
      <xdr:colOff>133350</xdr:colOff>
      <xdr:row>28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5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  <row r="11" spans="2:2">
      <c r="B11" s="3" t="s">
        <v>7</v>
      </c>
    </row>
    <row r="12" spans="2:2">
      <c r="B12" s="3" t="s">
        <v>8</v>
      </c>
    </row>
    <row r="13" spans="2:2">
      <c r="B13" s="3" t="s">
        <v>9</v>
      </c>
    </row>
    <row r="14" spans="2:2">
      <c r="B14" s="3" t="s">
        <v>10</v>
      </c>
    </row>
    <row r="15" spans="2:2">
      <c r="B15" s="3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B1A33"/>
  </sheetPr>
  <dimension ref="B2:C24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4.7109375" customWidth="1"/>
  </cols>
  <sheetData>
    <row r="2" spans="2:3">
      <c r="B2" s="1" t="s">
        <v>85</v>
      </c>
      <c r="C2" s="1"/>
    </row>
    <row r="3" spans="2:3">
      <c r="B3" s="2" t="s">
        <v>86</v>
      </c>
      <c r="C3" s="2"/>
    </row>
    <row r="5" spans="2:3">
      <c r="B5" s="4" t="s">
        <v>87</v>
      </c>
      <c r="C5" s="4"/>
    </row>
    <row r="6" spans="2:3">
      <c r="B6" s="5" t="s">
        <v>88</v>
      </c>
      <c r="C6" s="12">
        <f>ta_name</f>
        <v>0</v>
      </c>
    </row>
    <row r="7" spans="2:3">
      <c r="B7" s="5" t="s">
        <v>89</v>
      </c>
      <c r="C7" s="12">
        <f>ta_program_name</f>
        <v>0</v>
      </c>
    </row>
    <row r="9" spans="2:3">
      <c r="B9" s="4" t="s">
        <v>90</v>
      </c>
      <c r="C9" s="4"/>
    </row>
    <row r="10" spans="2:3">
      <c r="B10" s="5" t="s">
        <v>91</v>
      </c>
      <c r="C10" s="14">
        <f>ta_npv_savings</f>
        <v>0</v>
      </c>
    </row>
    <row r="11" spans="2:3">
      <c r="B11" s="5" t="s">
        <v>92</v>
      </c>
      <c r="C11" s="12">
        <f>ta_npv_savings/ta_units</f>
        <v>0</v>
      </c>
    </row>
    <row r="12" spans="2:3">
      <c r="B12" s="5" t="s">
        <v>93</v>
      </c>
      <c r="C12" s="14">
        <f>ta_npv_savings/ta_stab_cap</f>
        <v>0</v>
      </c>
    </row>
    <row r="14" spans="2:3">
      <c r="B14" s="4" t="s">
        <v>94</v>
      </c>
      <c r="C14" s="4"/>
    </row>
    <row r="15" spans="2:3">
      <c r="B15" s="5" t="s">
        <v>95</v>
      </c>
      <c r="C15" s="15">
        <f>'Expiration Shock'!C8</f>
        <v>0</v>
      </c>
    </row>
    <row r="16" spans="2:3">
      <c r="B16" s="5" t="s">
        <v>96</v>
      </c>
      <c r="C16" s="15">
        <f>'Expiration Shock'!C10</f>
        <v>0</v>
      </c>
    </row>
    <row r="17" spans="2:3">
      <c r="B17" s="5" t="s">
        <v>97</v>
      </c>
      <c r="C17" s="17">
        <f>'Expiration Shock'!C11</f>
        <v>0</v>
      </c>
    </row>
    <row r="19" spans="2:3">
      <c r="B19" s="4" t="s">
        <v>98</v>
      </c>
      <c r="C19" s="4"/>
    </row>
    <row r="20" spans="2:3">
      <c r="B20" s="18" t="s">
        <v>99</v>
      </c>
      <c r="C20" s="18"/>
    </row>
    <row r="21" spans="2:3">
      <c r="B21" s="18"/>
      <c r="C21" s="18"/>
    </row>
    <row r="22" spans="2:3">
      <c r="B22" s="18"/>
      <c r="C22" s="18"/>
    </row>
    <row r="23" spans="2:3">
      <c r="B23" s="18"/>
      <c r="C23" s="18"/>
    </row>
    <row r="24" spans="2:3">
      <c r="B24" s="18"/>
      <c r="C24" s="18"/>
    </row>
  </sheetData>
  <mergeCells count="7">
    <mergeCell ref="B2:C2"/>
    <mergeCell ref="B3:C3"/>
    <mergeCell ref="B5:C5"/>
    <mergeCell ref="B9:C9"/>
    <mergeCell ref="B14:C14"/>
    <mergeCell ref="B19:C19"/>
    <mergeCell ref="B20:C24"/>
  </mergeCells>
  <pageMargins left="0.7" right="0.7" top="0.75" bottom="0.75" header="0.3" footer="0.3"/>
  <pageSetup paperSize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19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</cols>
  <sheetData>
    <row r="2" spans="2:3">
      <c r="B2" s="1" t="s">
        <v>12</v>
      </c>
      <c r="C2" s="1"/>
    </row>
    <row r="5" spans="2:3">
      <c r="B5" s="4" t="s">
        <v>13</v>
      </c>
      <c r="C5" s="4"/>
    </row>
    <row r="7" spans="2:3">
      <c r="B7" s="5" t="s">
        <v>14</v>
      </c>
      <c r="C7" s="3" t="s">
        <v>15</v>
      </c>
    </row>
    <row r="8" spans="2:3">
      <c r="B8" s="5" t="s">
        <v>16</v>
      </c>
      <c r="C8" s="3" t="s">
        <v>17</v>
      </c>
    </row>
    <row r="9" spans="2:3">
      <c r="B9" s="5" t="s">
        <v>18</v>
      </c>
      <c r="C9" s="3" t="s">
        <v>19</v>
      </c>
    </row>
    <row r="10" spans="2:3">
      <c r="B10" s="5" t="s">
        <v>20</v>
      </c>
      <c r="C10" s="6">
        <v>200</v>
      </c>
    </row>
    <row r="11" spans="2:3">
      <c r="B11" s="5" t="s">
        <v>21</v>
      </c>
      <c r="C11" s="7">
        <v>80000000</v>
      </c>
    </row>
    <row r="12" spans="2:3">
      <c r="B12" s="5" t="s">
        <v>22</v>
      </c>
      <c r="C12" s="8">
        <v>0.45</v>
      </c>
    </row>
    <row r="13" spans="2:3">
      <c r="B13" s="5" t="s">
        <v>23</v>
      </c>
      <c r="C13" s="8">
        <v>0.1244</v>
      </c>
    </row>
    <row r="14" spans="2:3">
      <c r="B14" s="5" t="s">
        <v>24</v>
      </c>
      <c r="C14" s="7">
        <v>5400000</v>
      </c>
    </row>
    <row r="15" spans="2:3">
      <c r="B15" s="5" t="s">
        <v>25</v>
      </c>
      <c r="C15" s="8">
        <v>0.0475</v>
      </c>
    </row>
    <row r="16" spans="2:3">
      <c r="B16" s="5" t="s">
        <v>26</v>
      </c>
      <c r="C16" s="8">
        <v>0.08</v>
      </c>
    </row>
    <row r="17" spans="2:3">
      <c r="B17" s="5" t="s">
        <v>27</v>
      </c>
      <c r="C17" s="7">
        <v>55000000</v>
      </c>
    </row>
    <row r="18" spans="2:3">
      <c r="B18" s="5" t="s">
        <v>28</v>
      </c>
      <c r="C18" s="8">
        <v>0.0625</v>
      </c>
    </row>
    <row r="19" spans="2:3">
      <c r="B19" s="5" t="s">
        <v>29</v>
      </c>
      <c r="C19" s="6">
        <v>360</v>
      </c>
    </row>
  </sheetData>
  <mergeCells count="2">
    <mergeCell ref="B2:C2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L14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3" width="20.7109375" customWidth="1"/>
    <col min="6" max="6" width="20.7109375" customWidth="1"/>
    <col min="7" max="13" width="10.7109375" customWidth="1"/>
  </cols>
  <sheetData>
    <row r="2" spans="2:12">
      <c r="B2" s="1" t="s">
        <v>30</v>
      </c>
      <c r="C2" s="1"/>
    </row>
    <row r="5" spans="2:12">
      <c r="B5" s="4" t="s">
        <v>31</v>
      </c>
      <c r="C5" s="4"/>
    </row>
    <row r="6" spans="2:12">
      <c r="B6" s="5" t="s">
        <v>32</v>
      </c>
      <c r="C6" s="3" t="s">
        <v>33</v>
      </c>
      <c r="F6" s="9" t="s">
        <v>34</v>
      </c>
      <c r="G6" s="10">
        <v>1</v>
      </c>
      <c r="H6" s="10">
        <v>0.8</v>
      </c>
      <c r="I6" s="10">
        <v>0.6</v>
      </c>
      <c r="J6" s="10">
        <v>0.4</v>
      </c>
      <c r="K6" s="10">
        <v>0.2</v>
      </c>
      <c r="L6" s="10">
        <v>0</v>
      </c>
    </row>
    <row r="7" spans="2:12">
      <c r="B7" s="5" t="s">
        <v>37</v>
      </c>
      <c r="C7" s="3" t="s">
        <v>38</v>
      </c>
      <c r="F7" s="9" t="s">
        <v>33</v>
      </c>
      <c r="G7" s="10">
        <v>1</v>
      </c>
      <c r="H7" s="10">
        <v>0.8</v>
      </c>
      <c r="I7" s="10">
        <v>0.6</v>
      </c>
      <c r="J7" s="10">
        <v>0.4</v>
      </c>
      <c r="K7" s="10">
        <v>0.2</v>
      </c>
      <c r="L7" s="10">
        <v>0</v>
      </c>
    </row>
    <row r="8" spans="2:12">
      <c r="B8" s="5" t="s">
        <v>39</v>
      </c>
      <c r="C8" s="8">
        <f>IFERROR(INDEX($G$6:$G$9,MATCH($C$6,$F$6:$F$9,0)),1.0)</f>
        <v>0</v>
      </c>
      <c r="F8" s="9" t="s">
        <v>35</v>
      </c>
      <c r="G8" s="10">
        <v>1</v>
      </c>
      <c r="H8" s="10">
        <v>0.75</v>
      </c>
      <c r="I8" s="10">
        <v>0.5</v>
      </c>
      <c r="J8" s="10">
        <v>0.25</v>
      </c>
      <c r="K8" s="10">
        <v>0.1</v>
      </c>
      <c r="L8" s="10">
        <v>0</v>
      </c>
    </row>
    <row r="9" spans="2:12">
      <c r="F9" s="9" t="s">
        <v>36</v>
      </c>
      <c r="G9" s="10">
        <v>1</v>
      </c>
      <c r="H9" s="10">
        <v>0.8</v>
      </c>
      <c r="I9" s="10">
        <v>0.6</v>
      </c>
      <c r="J9" s="10">
        <v>0.4</v>
      </c>
      <c r="K9" s="10">
        <v>0.2</v>
      </c>
      <c r="L9" s="10">
        <v>0</v>
      </c>
    </row>
    <row r="10" spans="2:12">
      <c r="B10" s="5" t="s">
        <v>40</v>
      </c>
      <c r="C10" s="8">
        <f>IFERROR(INDEX($H$6:$H$9,MATCH($C$6,$F$6:$F$9,0)),0.8)</f>
        <v>0</v>
      </c>
    </row>
    <row r="11" spans="2:12">
      <c r="B11" s="5" t="s">
        <v>41</v>
      </c>
      <c r="C11" s="8">
        <f>IFERROR(INDEX($I$6:$I$9,MATCH($C$6,$F$6:$F$9,0)),0.6)</f>
        <v>0</v>
      </c>
    </row>
    <row r="12" spans="2:12">
      <c r="B12" s="5" t="s">
        <v>42</v>
      </c>
      <c r="C12" s="8">
        <f>IFERROR(INDEX($J$6:$J$9,MATCH($C$6,$F$6:$F$9,0)),0.4)</f>
        <v>0</v>
      </c>
    </row>
    <row r="13" spans="2:12">
      <c r="B13" s="5" t="s">
        <v>43</v>
      </c>
      <c r="C13" s="8">
        <f>IFERROR(INDEX($K$6:$K$9,MATCH($C$6,$F$6:$F$9,0)),0.2)</f>
        <v>0</v>
      </c>
    </row>
    <row r="14" spans="2:12">
      <c r="B14" s="5" t="s">
        <v>44</v>
      </c>
      <c r="C14" s="8">
        <f>IFERROR(INDEX($L$6:$L$9,MATCH($C$6,$F$6:$F$9,0)),0.0)</f>
        <v>0</v>
      </c>
    </row>
  </sheetData>
  <mergeCells count="2">
    <mergeCell ref="B2:C2"/>
    <mergeCell ref="B5:C5"/>
  </mergeCells>
  <dataValidations count="1">
    <dataValidation type="list" allowBlank="1" showInputMessage="1" showErrorMessage="1" errorTitle="Invalid selection" error="Please select from the list." promptTitle="Select program" prompt="Choose a preset to auto-fill phase rows, or choose Custom to enter manually." sqref="C6">
      <formula1>"421-a 25yr,421-a Affordable,IDA PILOT,Custom"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D8D2C4"/>
  </sheetPr>
  <dimension ref="B2:G40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7" width="16.7109375" customWidth="1"/>
  </cols>
  <sheetData>
    <row r="2" spans="2:7">
      <c r="B2" s="1" t="s">
        <v>45</v>
      </c>
      <c r="C2" s="1"/>
      <c r="D2" s="1"/>
      <c r="E2" s="1"/>
      <c r="F2" s="1"/>
      <c r="G2" s="1"/>
    </row>
    <row r="3" spans="2:7">
      <c r="B3" s="2" t="s">
        <v>46</v>
      </c>
      <c r="C3" s="2"/>
      <c r="D3" s="2"/>
      <c r="E3" s="2"/>
      <c r="F3" s="2"/>
      <c r="G3" s="2"/>
    </row>
    <row r="5" spans="2:7"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</row>
    <row r="6" spans="2:7">
      <c r="B6" s="5">
        <v>1</v>
      </c>
      <c r="C6" s="12">
        <f>ta_market_value*(1+0.02)^(1-1)</f>
        <v>0</v>
      </c>
      <c r="D6" s="12">
        <f>C6*ta_assessment_ratio*ta_tax_rate</f>
        <v>0</v>
      </c>
      <c r="E6" s="13">
        <f>ta_exempt_y1_20</f>
        <v>0</v>
      </c>
      <c r="F6" s="12">
        <f>D6*(1-E6)</f>
        <v>0</v>
      </c>
      <c r="G6" s="12">
        <f>D6-F6</f>
        <v>0</v>
      </c>
    </row>
    <row r="7" spans="2:7">
      <c r="B7" s="5">
        <v>2</v>
      </c>
      <c r="C7" s="12">
        <f>ta_market_value*(1+0.02)^(2-1)</f>
        <v>0</v>
      </c>
      <c r="D7" s="12">
        <f>C7*ta_assessment_ratio*ta_tax_rate</f>
        <v>0</v>
      </c>
      <c r="E7" s="13">
        <f>ta_exempt_y1_20</f>
        <v>0</v>
      </c>
      <c r="F7" s="12">
        <f>D7*(1-E7)</f>
        <v>0</v>
      </c>
      <c r="G7" s="12">
        <f>D7-F7</f>
        <v>0</v>
      </c>
    </row>
    <row r="8" spans="2:7">
      <c r="B8" s="5">
        <v>3</v>
      </c>
      <c r="C8" s="12">
        <f>ta_market_value*(1+0.02)^(3-1)</f>
        <v>0</v>
      </c>
      <c r="D8" s="12">
        <f>C8*ta_assessment_ratio*ta_tax_rate</f>
        <v>0</v>
      </c>
      <c r="E8" s="13">
        <f>ta_exempt_y1_20</f>
        <v>0</v>
      </c>
      <c r="F8" s="12">
        <f>D8*(1-E8)</f>
        <v>0</v>
      </c>
      <c r="G8" s="12">
        <f>D8-F8</f>
        <v>0</v>
      </c>
    </row>
    <row r="9" spans="2:7">
      <c r="B9" s="5">
        <v>4</v>
      </c>
      <c r="C9" s="12">
        <f>ta_market_value*(1+0.02)^(4-1)</f>
        <v>0</v>
      </c>
      <c r="D9" s="12">
        <f>C9*ta_assessment_ratio*ta_tax_rate</f>
        <v>0</v>
      </c>
      <c r="E9" s="13">
        <f>ta_exempt_y1_20</f>
        <v>0</v>
      </c>
      <c r="F9" s="12">
        <f>D9*(1-E9)</f>
        <v>0</v>
      </c>
      <c r="G9" s="12">
        <f>D9-F9</f>
        <v>0</v>
      </c>
    </row>
    <row r="10" spans="2:7">
      <c r="B10" s="5">
        <v>5</v>
      </c>
      <c r="C10" s="12">
        <f>ta_market_value*(1+0.02)^(5-1)</f>
        <v>0</v>
      </c>
      <c r="D10" s="12">
        <f>C10*ta_assessment_ratio*ta_tax_rate</f>
        <v>0</v>
      </c>
      <c r="E10" s="13">
        <f>ta_exempt_y1_20</f>
        <v>0</v>
      </c>
      <c r="F10" s="12">
        <f>D10*(1-E10)</f>
        <v>0</v>
      </c>
      <c r="G10" s="12">
        <f>D10-F10</f>
        <v>0</v>
      </c>
    </row>
    <row r="11" spans="2:7">
      <c r="B11" s="5">
        <v>6</v>
      </c>
      <c r="C11" s="12">
        <f>ta_market_value*(1+0.02)^(6-1)</f>
        <v>0</v>
      </c>
      <c r="D11" s="12">
        <f>C11*ta_assessment_ratio*ta_tax_rate</f>
        <v>0</v>
      </c>
      <c r="E11" s="13">
        <f>ta_exempt_y1_20</f>
        <v>0</v>
      </c>
      <c r="F11" s="12">
        <f>D11*(1-E11)</f>
        <v>0</v>
      </c>
      <c r="G11" s="12">
        <f>D11-F11</f>
        <v>0</v>
      </c>
    </row>
    <row r="12" spans="2:7">
      <c r="B12" s="5">
        <v>7</v>
      </c>
      <c r="C12" s="12">
        <f>ta_market_value*(1+0.02)^(7-1)</f>
        <v>0</v>
      </c>
      <c r="D12" s="12">
        <f>C12*ta_assessment_ratio*ta_tax_rate</f>
        <v>0</v>
      </c>
      <c r="E12" s="13">
        <f>ta_exempt_y1_20</f>
        <v>0</v>
      </c>
      <c r="F12" s="12">
        <f>D12*(1-E12)</f>
        <v>0</v>
      </c>
      <c r="G12" s="12">
        <f>D12-F12</f>
        <v>0</v>
      </c>
    </row>
    <row r="13" spans="2:7">
      <c r="B13" s="5">
        <v>8</v>
      </c>
      <c r="C13" s="12">
        <f>ta_market_value*(1+0.02)^(8-1)</f>
        <v>0</v>
      </c>
      <c r="D13" s="12">
        <f>C13*ta_assessment_ratio*ta_tax_rate</f>
        <v>0</v>
      </c>
      <c r="E13" s="13">
        <f>ta_exempt_y1_20</f>
        <v>0</v>
      </c>
      <c r="F13" s="12">
        <f>D13*(1-E13)</f>
        <v>0</v>
      </c>
      <c r="G13" s="12">
        <f>D13-F13</f>
        <v>0</v>
      </c>
    </row>
    <row r="14" spans="2:7">
      <c r="B14" s="5">
        <v>9</v>
      </c>
      <c r="C14" s="12">
        <f>ta_market_value*(1+0.02)^(9-1)</f>
        <v>0</v>
      </c>
      <c r="D14" s="12">
        <f>C14*ta_assessment_ratio*ta_tax_rate</f>
        <v>0</v>
      </c>
      <c r="E14" s="13">
        <f>ta_exempt_y1_20</f>
        <v>0</v>
      </c>
      <c r="F14" s="12">
        <f>D14*(1-E14)</f>
        <v>0</v>
      </c>
      <c r="G14" s="12">
        <f>D14-F14</f>
        <v>0</v>
      </c>
    </row>
    <row r="15" spans="2:7">
      <c r="B15" s="5">
        <v>10</v>
      </c>
      <c r="C15" s="12">
        <f>ta_market_value*(1+0.02)^(10-1)</f>
        <v>0</v>
      </c>
      <c r="D15" s="12">
        <f>C15*ta_assessment_ratio*ta_tax_rate</f>
        <v>0</v>
      </c>
      <c r="E15" s="13">
        <f>ta_exempt_y1_20</f>
        <v>0</v>
      </c>
      <c r="F15" s="12">
        <f>D15*(1-E15)</f>
        <v>0</v>
      </c>
      <c r="G15" s="12">
        <f>D15-F15</f>
        <v>0</v>
      </c>
    </row>
    <row r="16" spans="2:7">
      <c r="B16" s="5">
        <v>11</v>
      </c>
      <c r="C16" s="12">
        <f>ta_market_value*(1+0.02)^(11-1)</f>
        <v>0</v>
      </c>
      <c r="D16" s="12">
        <f>C16*ta_assessment_ratio*ta_tax_rate</f>
        <v>0</v>
      </c>
      <c r="E16" s="13">
        <f>ta_exempt_y1_20</f>
        <v>0</v>
      </c>
      <c r="F16" s="12">
        <f>D16*(1-E16)</f>
        <v>0</v>
      </c>
      <c r="G16" s="12">
        <f>D16-F16</f>
        <v>0</v>
      </c>
    </row>
    <row r="17" spans="2:7">
      <c r="B17" s="5">
        <v>12</v>
      </c>
      <c r="C17" s="12">
        <f>ta_market_value*(1+0.02)^(12-1)</f>
        <v>0</v>
      </c>
      <c r="D17" s="12">
        <f>C17*ta_assessment_ratio*ta_tax_rate</f>
        <v>0</v>
      </c>
      <c r="E17" s="13">
        <f>ta_exempt_y1_20</f>
        <v>0</v>
      </c>
      <c r="F17" s="12">
        <f>D17*(1-E17)</f>
        <v>0</v>
      </c>
      <c r="G17" s="12">
        <f>D17-F17</f>
        <v>0</v>
      </c>
    </row>
    <row r="18" spans="2:7">
      <c r="B18" s="5">
        <v>13</v>
      </c>
      <c r="C18" s="12">
        <f>ta_market_value*(1+0.02)^(13-1)</f>
        <v>0</v>
      </c>
      <c r="D18" s="12">
        <f>C18*ta_assessment_ratio*ta_tax_rate</f>
        <v>0</v>
      </c>
      <c r="E18" s="13">
        <f>ta_exempt_y1_20</f>
        <v>0</v>
      </c>
      <c r="F18" s="12">
        <f>D18*(1-E18)</f>
        <v>0</v>
      </c>
      <c r="G18" s="12">
        <f>D18-F18</f>
        <v>0</v>
      </c>
    </row>
    <row r="19" spans="2:7">
      <c r="B19" s="5">
        <v>14</v>
      </c>
      <c r="C19" s="12">
        <f>ta_market_value*(1+0.02)^(14-1)</f>
        <v>0</v>
      </c>
      <c r="D19" s="12">
        <f>C19*ta_assessment_ratio*ta_tax_rate</f>
        <v>0</v>
      </c>
      <c r="E19" s="13">
        <f>ta_exempt_y1_20</f>
        <v>0</v>
      </c>
      <c r="F19" s="12">
        <f>D19*(1-E19)</f>
        <v>0</v>
      </c>
      <c r="G19" s="12">
        <f>D19-F19</f>
        <v>0</v>
      </c>
    </row>
    <row r="20" spans="2:7">
      <c r="B20" s="5">
        <v>15</v>
      </c>
      <c r="C20" s="12">
        <f>ta_market_value*(1+0.02)^(15-1)</f>
        <v>0</v>
      </c>
      <c r="D20" s="12">
        <f>C20*ta_assessment_ratio*ta_tax_rate</f>
        <v>0</v>
      </c>
      <c r="E20" s="13">
        <f>ta_exempt_y1_20</f>
        <v>0</v>
      </c>
      <c r="F20" s="12">
        <f>D20*(1-E20)</f>
        <v>0</v>
      </c>
      <c r="G20" s="12">
        <f>D20-F20</f>
        <v>0</v>
      </c>
    </row>
    <row r="21" spans="2:7">
      <c r="B21" s="5">
        <v>16</v>
      </c>
      <c r="C21" s="12">
        <f>ta_market_value*(1+0.02)^(16-1)</f>
        <v>0</v>
      </c>
      <c r="D21" s="12">
        <f>C21*ta_assessment_ratio*ta_tax_rate</f>
        <v>0</v>
      </c>
      <c r="E21" s="13">
        <f>ta_exempt_y1_20</f>
        <v>0</v>
      </c>
      <c r="F21" s="12">
        <f>D21*(1-E21)</f>
        <v>0</v>
      </c>
      <c r="G21" s="12">
        <f>D21-F21</f>
        <v>0</v>
      </c>
    </row>
    <row r="22" spans="2:7">
      <c r="B22" s="5">
        <v>17</v>
      </c>
      <c r="C22" s="12">
        <f>ta_market_value*(1+0.02)^(17-1)</f>
        <v>0</v>
      </c>
      <c r="D22" s="12">
        <f>C22*ta_assessment_ratio*ta_tax_rate</f>
        <v>0</v>
      </c>
      <c r="E22" s="13">
        <f>ta_exempt_y1_20</f>
        <v>0</v>
      </c>
      <c r="F22" s="12">
        <f>D22*(1-E22)</f>
        <v>0</v>
      </c>
      <c r="G22" s="12">
        <f>D22-F22</f>
        <v>0</v>
      </c>
    </row>
    <row r="23" spans="2:7">
      <c r="B23" s="5">
        <v>18</v>
      </c>
      <c r="C23" s="12">
        <f>ta_market_value*(1+0.02)^(18-1)</f>
        <v>0</v>
      </c>
      <c r="D23" s="12">
        <f>C23*ta_assessment_ratio*ta_tax_rate</f>
        <v>0</v>
      </c>
      <c r="E23" s="13">
        <f>ta_exempt_y1_20</f>
        <v>0</v>
      </c>
      <c r="F23" s="12">
        <f>D23*(1-E23)</f>
        <v>0</v>
      </c>
      <c r="G23" s="12">
        <f>D23-F23</f>
        <v>0</v>
      </c>
    </row>
    <row r="24" spans="2:7">
      <c r="B24" s="5">
        <v>19</v>
      </c>
      <c r="C24" s="12">
        <f>ta_market_value*(1+0.02)^(19-1)</f>
        <v>0</v>
      </c>
      <c r="D24" s="12">
        <f>C24*ta_assessment_ratio*ta_tax_rate</f>
        <v>0</v>
      </c>
      <c r="E24" s="13">
        <f>ta_exempt_y1_20</f>
        <v>0</v>
      </c>
      <c r="F24" s="12">
        <f>D24*(1-E24)</f>
        <v>0</v>
      </c>
      <c r="G24" s="12">
        <f>D24-F24</f>
        <v>0</v>
      </c>
    </row>
    <row r="25" spans="2:7">
      <c r="B25" s="5">
        <v>20</v>
      </c>
      <c r="C25" s="12">
        <f>ta_market_value*(1+0.02)^(20-1)</f>
        <v>0</v>
      </c>
      <c r="D25" s="12">
        <f>C25*ta_assessment_ratio*ta_tax_rate</f>
        <v>0</v>
      </c>
      <c r="E25" s="13">
        <f>ta_exempt_y1_20</f>
        <v>0</v>
      </c>
      <c r="F25" s="12">
        <f>D25*(1-E25)</f>
        <v>0</v>
      </c>
      <c r="G25" s="12">
        <f>D25-F25</f>
        <v>0</v>
      </c>
    </row>
    <row r="26" spans="2:7">
      <c r="B26" s="5">
        <v>21</v>
      </c>
      <c r="C26" s="12">
        <f>ta_market_value*(1+0.02)^(21-1)</f>
        <v>0</v>
      </c>
      <c r="D26" s="12">
        <f>C26*ta_assessment_ratio*ta_tax_rate</f>
        <v>0</v>
      </c>
      <c r="E26" s="13">
        <f>ta_phase_y21</f>
        <v>0</v>
      </c>
      <c r="F26" s="12">
        <f>D26*(1-E26)</f>
        <v>0</v>
      </c>
      <c r="G26" s="12">
        <f>D26-F26</f>
        <v>0</v>
      </c>
    </row>
    <row r="27" spans="2:7">
      <c r="B27" s="5">
        <v>22</v>
      </c>
      <c r="C27" s="12">
        <f>ta_market_value*(1+0.02)^(22-1)</f>
        <v>0</v>
      </c>
      <c r="D27" s="12">
        <f>C27*ta_assessment_ratio*ta_tax_rate</f>
        <v>0</v>
      </c>
      <c r="E27" s="13">
        <f>ta_phase_y22</f>
        <v>0</v>
      </c>
      <c r="F27" s="12">
        <f>D27*(1-E27)</f>
        <v>0</v>
      </c>
      <c r="G27" s="12">
        <f>D27-F27</f>
        <v>0</v>
      </c>
    </row>
    <row r="28" spans="2:7">
      <c r="B28" s="5">
        <v>23</v>
      </c>
      <c r="C28" s="12">
        <f>ta_market_value*(1+0.02)^(23-1)</f>
        <v>0</v>
      </c>
      <c r="D28" s="12">
        <f>C28*ta_assessment_ratio*ta_tax_rate</f>
        <v>0</v>
      </c>
      <c r="E28" s="13">
        <f>ta_phase_y23</f>
        <v>0</v>
      </c>
      <c r="F28" s="12">
        <f>D28*(1-E28)</f>
        <v>0</v>
      </c>
      <c r="G28" s="12">
        <f>D28-F28</f>
        <v>0</v>
      </c>
    </row>
    <row r="29" spans="2:7">
      <c r="B29" s="5">
        <v>24</v>
      </c>
      <c r="C29" s="12">
        <f>ta_market_value*(1+0.02)^(24-1)</f>
        <v>0</v>
      </c>
      <c r="D29" s="12">
        <f>C29*ta_assessment_ratio*ta_tax_rate</f>
        <v>0</v>
      </c>
      <c r="E29" s="13">
        <f>ta_phase_y24</f>
        <v>0</v>
      </c>
      <c r="F29" s="12">
        <f>D29*(1-E29)</f>
        <v>0</v>
      </c>
      <c r="G29" s="12">
        <f>D29-F29</f>
        <v>0</v>
      </c>
    </row>
    <row r="30" spans="2:7">
      <c r="B30" s="5">
        <v>25</v>
      </c>
      <c r="C30" s="12">
        <f>ta_market_value*(1+0.02)^(25-1)</f>
        <v>0</v>
      </c>
      <c r="D30" s="12">
        <f>C30*ta_assessment_ratio*ta_tax_rate</f>
        <v>0</v>
      </c>
      <c r="E30" s="13">
        <f>ta_phase_y25</f>
        <v>0</v>
      </c>
      <c r="F30" s="12">
        <f>D30*(1-E30)</f>
        <v>0</v>
      </c>
      <c r="G30" s="12">
        <f>D30-F30</f>
        <v>0</v>
      </c>
    </row>
    <row r="31" spans="2:7">
      <c r="B31" s="5">
        <v>26</v>
      </c>
      <c r="C31" s="12">
        <f>ta_market_value*(1+0.02)^(26-1)</f>
        <v>0</v>
      </c>
      <c r="D31" s="12">
        <f>C31*ta_assessment_ratio*ta_tax_rate</f>
        <v>0</v>
      </c>
      <c r="E31" s="13">
        <f>0</f>
        <v>0</v>
      </c>
      <c r="F31" s="12">
        <f>D31*(1-E31)</f>
        <v>0</v>
      </c>
      <c r="G31" s="12">
        <f>D31-F31</f>
        <v>0</v>
      </c>
    </row>
    <row r="32" spans="2:7">
      <c r="B32" s="5">
        <v>27</v>
      </c>
      <c r="C32" s="12">
        <f>ta_market_value*(1+0.02)^(27-1)</f>
        <v>0</v>
      </c>
      <c r="D32" s="12">
        <f>C32*ta_assessment_ratio*ta_tax_rate</f>
        <v>0</v>
      </c>
      <c r="E32" s="13">
        <f>0</f>
        <v>0</v>
      </c>
      <c r="F32" s="12">
        <f>D32*(1-E32)</f>
        <v>0</v>
      </c>
      <c r="G32" s="12">
        <f>D32-F32</f>
        <v>0</v>
      </c>
    </row>
    <row r="33" spans="2:7">
      <c r="B33" s="5">
        <v>28</v>
      </c>
      <c r="C33" s="12">
        <f>ta_market_value*(1+0.02)^(28-1)</f>
        <v>0</v>
      </c>
      <c r="D33" s="12">
        <f>C33*ta_assessment_ratio*ta_tax_rate</f>
        <v>0</v>
      </c>
      <c r="E33" s="13">
        <f>0</f>
        <v>0</v>
      </c>
      <c r="F33" s="12">
        <f>D33*(1-E33)</f>
        <v>0</v>
      </c>
      <c r="G33" s="12">
        <f>D33-F33</f>
        <v>0</v>
      </c>
    </row>
    <row r="34" spans="2:7">
      <c r="B34" s="5">
        <v>29</v>
      </c>
      <c r="C34" s="12">
        <f>ta_market_value*(1+0.02)^(29-1)</f>
        <v>0</v>
      </c>
      <c r="D34" s="12">
        <f>C34*ta_assessment_ratio*ta_tax_rate</f>
        <v>0</v>
      </c>
      <c r="E34" s="13">
        <f>0</f>
        <v>0</v>
      </c>
      <c r="F34" s="12">
        <f>D34*(1-E34)</f>
        <v>0</v>
      </c>
      <c r="G34" s="12">
        <f>D34-F34</f>
        <v>0</v>
      </c>
    </row>
    <row r="35" spans="2:7">
      <c r="B35" s="5">
        <v>30</v>
      </c>
      <c r="C35" s="12">
        <f>ta_market_value*(1+0.02)^(30-1)</f>
        <v>0</v>
      </c>
      <c r="D35" s="12">
        <f>C35*ta_assessment_ratio*ta_tax_rate</f>
        <v>0</v>
      </c>
      <c r="E35" s="13">
        <f>0</f>
        <v>0</v>
      </c>
      <c r="F35" s="12">
        <f>D35*(1-E35)</f>
        <v>0</v>
      </c>
      <c r="G35" s="12">
        <f>D35-F35</f>
        <v>0</v>
      </c>
    </row>
    <row r="36" spans="2:7">
      <c r="B36" s="5" t="s">
        <v>53</v>
      </c>
      <c r="D36" s="14">
        <f>SUM(D6:D35)</f>
        <v>0</v>
      </c>
      <c r="F36" s="14">
        <f>SUM(F6:F35)</f>
        <v>0</v>
      </c>
      <c r="G36" s="14">
        <f>SUM(G6:G35)</f>
        <v>0</v>
      </c>
    </row>
    <row r="37" spans="2:7">
      <c r="B37" s="4" t="s">
        <v>54</v>
      </c>
      <c r="C37" s="4"/>
      <c r="D37" s="4"/>
      <c r="E37" s="4"/>
      <c r="F37" s="4"/>
      <c r="G37" s="4"/>
    </row>
    <row r="38" spans="2:7">
      <c r="B38" s="5" t="s">
        <v>55</v>
      </c>
      <c r="D38" s="14">
        <f>NPV(ta_discount_rate, G6:G35)</f>
        <v>0</v>
      </c>
    </row>
    <row r="39" spans="2:7">
      <c r="B39" s="5" t="s">
        <v>56</v>
      </c>
      <c r="D39" s="12">
        <f>ta_npv_savings/ta_units</f>
        <v>0</v>
      </c>
    </row>
    <row r="40" spans="2:7">
      <c r="B40" s="5" t="s">
        <v>57</v>
      </c>
      <c r="D40" s="14">
        <f>ta_npv_savings/ta_stab_cap</f>
        <v>0</v>
      </c>
    </row>
  </sheetData>
  <mergeCells count="3">
    <mergeCell ref="B2:G2"/>
    <mergeCell ref="B3:G3"/>
    <mergeCell ref="B37:G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D3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4" width="20.7109375" customWidth="1"/>
  </cols>
  <sheetData>
    <row r="2" spans="2:4">
      <c r="B2" s="1" t="s">
        <v>58</v>
      </c>
      <c r="C2" s="1"/>
      <c r="D2" s="1"/>
    </row>
    <row r="3" spans="2:4">
      <c r="B3" s="2" t="s">
        <v>59</v>
      </c>
      <c r="C3" s="2"/>
      <c r="D3" s="2"/>
    </row>
    <row r="5" spans="2:4">
      <c r="B5" s="11" t="s">
        <v>47</v>
      </c>
      <c r="C5" s="11" t="s">
        <v>48</v>
      </c>
      <c r="D5" s="11" t="s">
        <v>60</v>
      </c>
    </row>
    <row r="6" spans="2:4">
      <c r="B6" s="5">
        <f>'Projection'!B6</f>
        <v>0</v>
      </c>
      <c r="C6" s="12">
        <f>'Projection'!C6</f>
        <v>0</v>
      </c>
      <c r="D6" s="12">
        <f>'Projection'!D6</f>
        <v>0</v>
      </c>
    </row>
    <row r="7" spans="2:4">
      <c r="B7" s="5">
        <f>'Projection'!B7</f>
        <v>0</v>
      </c>
      <c r="C7" s="12">
        <f>'Projection'!C7</f>
        <v>0</v>
      </c>
      <c r="D7" s="12">
        <f>'Projection'!D7</f>
        <v>0</v>
      </c>
    </row>
    <row r="8" spans="2:4">
      <c r="B8" s="5">
        <f>'Projection'!B8</f>
        <v>0</v>
      </c>
      <c r="C8" s="12">
        <f>'Projection'!C8</f>
        <v>0</v>
      </c>
      <c r="D8" s="12">
        <f>'Projection'!D8</f>
        <v>0</v>
      </c>
    </row>
    <row r="9" spans="2:4">
      <c r="B9" s="5">
        <f>'Projection'!B9</f>
        <v>0</v>
      </c>
      <c r="C9" s="12">
        <f>'Projection'!C9</f>
        <v>0</v>
      </c>
      <c r="D9" s="12">
        <f>'Projection'!D9</f>
        <v>0</v>
      </c>
    </row>
    <row r="10" spans="2:4">
      <c r="B10" s="5">
        <f>'Projection'!B10</f>
        <v>0</v>
      </c>
      <c r="C10" s="12">
        <f>'Projection'!C10</f>
        <v>0</v>
      </c>
      <c r="D10" s="12">
        <f>'Projection'!D10</f>
        <v>0</v>
      </c>
    </row>
    <row r="11" spans="2:4">
      <c r="B11" s="5">
        <f>'Projection'!B11</f>
        <v>0</v>
      </c>
      <c r="C11" s="12">
        <f>'Projection'!C11</f>
        <v>0</v>
      </c>
      <c r="D11" s="12">
        <f>'Projection'!D11</f>
        <v>0</v>
      </c>
    </row>
    <row r="12" spans="2:4">
      <c r="B12" s="5">
        <f>'Projection'!B12</f>
        <v>0</v>
      </c>
      <c r="C12" s="12">
        <f>'Projection'!C12</f>
        <v>0</v>
      </c>
      <c r="D12" s="12">
        <f>'Projection'!D12</f>
        <v>0</v>
      </c>
    </row>
    <row r="13" spans="2:4">
      <c r="B13" s="5">
        <f>'Projection'!B13</f>
        <v>0</v>
      </c>
      <c r="C13" s="12">
        <f>'Projection'!C13</f>
        <v>0</v>
      </c>
      <c r="D13" s="12">
        <f>'Projection'!D13</f>
        <v>0</v>
      </c>
    </row>
    <row r="14" spans="2:4">
      <c r="B14" s="5">
        <f>'Projection'!B14</f>
        <v>0</v>
      </c>
      <c r="C14" s="12">
        <f>'Projection'!C14</f>
        <v>0</v>
      </c>
      <c r="D14" s="12">
        <f>'Projection'!D14</f>
        <v>0</v>
      </c>
    </row>
    <row r="15" spans="2:4">
      <c r="B15" s="5">
        <f>'Projection'!B15</f>
        <v>0</v>
      </c>
      <c r="C15" s="12">
        <f>'Projection'!C15</f>
        <v>0</v>
      </c>
      <c r="D15" s="12">
        <f>'Projection'!D15</f>
        <v>0</v>
      </c>
    </row>
    <row r="16" spans="2:4">
      <c r="B16" s="5">
        <f>'Projection'!B16</f>
        <v>0</v>
      </c>
      <c r="C16" s="12">
        <f>'Projection'!C16</f>
        <v>0</v>
      </c>
      <c r="D16" s="12">
        <f>'Projection'!D16</f>
        <v>0</v>
      </c>
    </row>
    <row r="17" spans="2:4">
      <c r="B17" s="5">
        <f>'Projection'!B17</f>
        <v>0</v>
      </c>
      <c r="C17" s="12">
        <f>'Projection'!C17</f>
        <v>0</v>
      </c>
      <c r="D17" s="12">
        <f>'Projection'!D17</f>
        <v>0</v>
      </c>
    </row>
    <row r="18" spans="2:4">
      <c r="B18" s="5">
        <f>'Projection'!B18</f>
        <v>0</v>
      </c>
      <c r="C18" s="12">
        <f>'Projection'!C18</f>
        <v>0</v>
      </c>
      <c r="D18" s="12">
        <f>'Projection'!D18</f>
        <v>0</v>
      </c>
    </row>
    <row r="19" spans="2:4">
      <c r="B19" s="5">
        <f>'Projection'!B19</f>
        <v>0</v>
      </c>
      <c r="C19" s="12">
        <f>'Projection'!C19</f>
        <v>0</v>
      </c>
      <c r="D19" s="12">
        <f>'Projection'!D19</f>
        <v>0</v>
      </c>
    </row>
    <row r="20" spans="2:4">
      <c r="B20" s="5">
        <f>'Projection'!B20</f>
        <v>0</v>
      </c>
      <c r="C20" s="12">
        <f>'Projection'!C20</f>
        <v>0</v>
      </c>
      <c r="D20" s="12">
        <f>'Projection'!D20</f>
        <v>0</v>
      </c>
    </row>
    <row r="21" spans="2:4">
      <c r="B21" s="5">
        <f>'Projection'!B21</f>
        <v>0</v>
      </c>
      <c r="C21" s="12">
        <f>'Projection'!C21</f>
        <v>0</v>
      </c>
      <c r="D21" s="12">
        <f>'Projection'!D21</f>
        <v>0</v>
      </c>
    </row>
    <row r="22" spans="2:4">
      <c r="B22" s="5">
        <f>'Projection'!B22</f>
        <v>0</v>
      </c>
      <c r="C22" s="12">
        <f>'Projection'!C22</f>
        <v>0</v>
      </c>
      <c r="D22" s="12">
        <f>'Projection'!D22</f>
        <v>0</v>
      </c>
    </row>
    <row r="23" spans="2:4">
      <c r="B23" s="5">
        <f>'Projection'!B23</f>
        <v>0</v>
      </c>
      <c r="C23" s="12">
        <f>'Projection'!C23</f>
        <v>0</v>
      </c>
      <c r="D23" s="12">
        <f>'Projection'!D23</f>
        <v>0</v>
      </c>
    </row>
    <row r="24" spans="2:4">
      <c r="B24" s="5">
        <f>'Projection'!B24</f>
        <v>0</v>
      </c>
      <c r="C24" s="12">
        <f>'Projection'!C24</f>
        <v>0</v>
      </c>
      <c r="D24" s="12">
        <f>'Projection'!D24</f>
        <v>0</v>
      </c>
    </row>
    <row r="25" spans="2:4">
      <c r="B25" s="5">
        <f>'Projection'!B25</f>
        <v>0</v>
      </c>
      <c r="C25" s="12">
        <f>'Projection'!C25</f>
        <v>0</v>
      </c>
      <c r="D25" s="12">
        <f>'Projection'!D25</f>
        <v>0</v>
      </c>
    </row>
    <row r="26" spans="2:4">
      <c r="B26" s="5">
        <f>'Projection'!B26</f>
        <v>0</v>
      </c>
      <c r="C26" s="12">
        <f>'Projection'!C26</f>
        <v>0</v>
      </c>
      <c r="D26" s="12">
        <f>'Projection'!D26</f>
        <v>0</v>
      </c>
    </row>
    <row r="27" spans="2:4">
      <c r="B27" s="5">
        <f>'Projection'!B27</f>
        <v>0</v>
      </c>
      <c r="C27" s="12">
        <f>'Projection'!C27</f>
        <v>0</v>
      </c>
      <c r="D27" s="12">
        <f>'Projection'!D27</f>
        <v>0</v>
      </c>
    </row>
    <row r="28" spans="2:4">
      <c r="B28" s="5">
        <f>'Projection'!B28</f>
        <v>0</v>
      </c>
      <c r="C28" s="12">
        <f>'Projection'!C28</f>
        <v>0</v>
      </c>
      <c r="D28" s="12">
        <f>'Projection'!D28</f>
        <v>0</v>
      </c>
    </row>
    <row r="29" spans="2:4">
      <c r="B29" s="5">
        <f>'Projection'!B29</f>
        <v>0</v>
      </c>
      <c r="C29" s="12">
        <f>'Projection'!C29</f>
        <v>0</v>
      </c>
      <c r="D29" s="12">
        <f>'Projection'!D29</f>
        <v>0</v>
      </c>
    </row>
    <row r="30" spans="2:4">
      <c r="B30" s="5">
        <f>'Projection'!B30</f>
        <v>0</v>
      </c>
      <c r="C30" s="12">
        <f>'Projection'!C30</f>
        <v>0</v>
      </c>
      <c r="D30" s="12">
        <f>'Projection'!D30</f>
        <v>0</v>
      </c>
    </row>
    <row r="31" spans="2:4">
      <c r="B31" s="5">
        <f>'Projection'!B31</f>
        <v>0</v>
      </c>
      <c r="C31" s="12">
        <f>'Projection'!C31</f>
        <v>0</v>
      </c>
      <c r="D31" s="12">
        <f>'Projection'!D31</f>
        <v>0</v>
      </c>
    </row>
    <row r="32" spans="2:4">
      <c r="B32" s="5">
        <f>'Projection'!B32</f>
        <v>0</v>
      </c>
      <c r="C32" s="12">
        <f>'Projection'!C32</f>
        <v>0</v>
      </c>
      <c r="D32" s="12">
        <f>'Projection'!D32</f>
        <v>0</v>
      </c>
    </row>
    <row r="33" spans="2:4">
      <c r="B33" s="5">
        <f>'Projection'!B33</f>
        <v>0</v>
      </c>
      <c r="C33" s="12">
        <f>'Projection'!C33</f>
        <v>0</v>
      </c>
      <c r="D33" s="12">
        <f>'Projection'!D33</f>
        <v>0</v>
      </c>
    </row>
    <row r="34" spans="2:4">
      <c r="B34" s="5">
        <f>'Projection'!B34</f>
        <v>0</v>
      </c>
      <c r="C34" s="12">
        <f>'Projection'!C34</f>
        <v>0</v>
      </c>
      <c r="D34" s="12">
        <f>'Projection'!D34</f>
        <v>0</v>
      </c>
    </row>
    <row r="35" spans="2:4">
      <c r="B35" s="5">
        <f>'Projection'!B35</f>
        <v>0</v>
      </c>
      <c r="C35" s="12">
        <f>'Projection'!C35</f>
        <v>0</v>
      </c>
      <c r="D35" s="12">
        <f>'Projection'!D35</f>
        <v>0</v>
      </c>
    </row>
    <row r="36" spans="2:4">
      <c r="B36" s="5" t="s">
        <v>53</v>
      </c>
      <c r="D36" s="14">
        <f>'Projection'!D36</f>
        <v>0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E3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5" width="20.7109375" customWidth="1"/>
  </cols>
  <sheetData>
    <row r="2" spans="2:5">
      <c r="B2" s="1" t="s">
        <v>61</v>
      </c>
      <c r="C2" s="1"/>
      <c r="D2" s="1"/>
      <c r="E2" s="1"/>
    </row>
    <row r="3" spans="2:5">
      <c r="B3" s="2" t="s">
        <v>62</v>
      </c>
      <c r="C3" s="2"/>
      <c r="D3" s="2"/>
      <c r="E3" s="2"/>
    </row>
    <row r="5" spans="2:5">
      <c r="B5" s="11" t="s">
        <v>47</v>
      </c>
      <c r="C5" s="11" t="s">
        <v>50</v>
      </c>
      <c r="D5" s="11" t="s">
        <v>51</v>
      </c>
      <c r="E5" s="11" t="s">
        <v>52</v>
      </c>
    </row>
    <row r="6" spans="2:5">
      <c r="B6" s="5">
        <f>'Projection'!B6</f>
        <v>0</v>
      </c>
      <c r="C6" s="13">
        <f>'Projection'!E6</f>
        <v>0</v>
      </c>
      <c r="D6" s="12">
        <f>'Projection'!F6</f>
        <v>0</v>
      </c>
      <c r="E6" s="12">
        <f>'Projection'!G6</f>
        <v>0</v>
      </c>
    </row>
    <row r="7" spans="2:5">
      <c r="B7" s="5">
        <f>'Projection'!B7</f>
        <v>0</v>
      </c>
      <c r="C7" s="13">
        <f>'Projection'!E7</f>
        <v>0</v>
      </c>
      <c r="D7" s="12">
        <f>'Projection'!F7</f>
        <v>0</v>
      </c>
      <c r="E7" s="12">
        <f>'Projection'!G7</f>
        <v>0</v>
      </c>
    </row>
    <row r="8" spans="2:5">
      <c r="B8" s="5">
        <f>'Projection'!B8</f>
        <v>0</v>
      </c>
      <c r="C8" s="13">
        <f>'Projection'!E8</f>
        <v>0</v>
      </c>
      <c r="D8" s="12">
        <f>'Projection'!F8</f>
        <v>0</v>
      </c>
      <c r="E8" s="12">
        <f>'Projection'!G8</f>
        <v>0</v>
      </c>
    </row>
    <row r="9" spans="2:5">
      <c r="B9" s="5">
        <f>'Projection'!B9</f>
        <v>0</v>
      </c>
      <c r="C9" s="13">
        <f>'Projection'!E9</f>
        <v>0</v>
      </c>
      <c r="D9" s="12">
        <f>'Projection'!F9</f>
        <v>0</v>
      </c>
      <c r="E9" s="12">
        <f>'Projection'!G9</f>
        <v>0</v>
      </c>
    </row>
    <row r="10" spans="2:5">
      <c r="B10" s="5">
        <f>'Projection'!B10</f>
        <v>0</v>
      </c>
      <c r="C10" s="13">
        <f>'Projection'!E10</f>
        <v>0</v>
      </c>
      <c r="D10" s="12">
        <f>'Projection'!F10</f>
        <v>0</v>
      </c>
      <c r="E10" s="12">
        <f>'Projection'!G10</f>
        <v>0</v>
      </c>
    </row>
    <row r="11" spans="2:5">
      <c r="B11" s="5">
        <f>'Projection'!B11</f>
        <v>0</v>
      </c>
      <c r="C11" s="13">
        <f>'Projection'!E11</f>
        <v>0</v>
      </c>
      <c r="D11" s="12">
        <f>'Projection'!F11</f>
        <v>0</v>
      </c>
      <c r="E11" s="12">
        <f>'Projection'!G11</f>
        <v>0</v>
      </c>
    </row>
    <row r="12" spans="2:5">
      <c r="B12" s="5">
        <f>'Projection'!B12</f>
        <v>0</v>
      </c>
      <c r="C12" s="13">
        <f>'Projection'!E12</f>
        <v>0</v>
      </c>
      <c r="D12" s="12">
        <f>'Projection'!F12</f>
        <v>0</v>
      </c>
      <c r="E12" s="12">
        <f>'Projection'!G12</f>
        <v>0</v>
      </c>
    </row>
    <row r="13" spans="2:5">
      <c r="B13" s="5">
        <f>'Projection'!B13</f>
        <v>0</v>
      </c>
      <c r="C13" s="13">
        <f>'Projection'!E13</f>
        <v>0</v>
      </c>
      <c r="D13" s="12">
        <f>'Projection'!F13</f>
        <v>0</v>
      </c>
      <c r="E13" s="12">
        <f>'Projection'!G13</f>
        <v>0</v>
      </c>
    </row>
    <row r="14" spans="2:5">
      <c r="B14" s="5">
        <f>'Projection'!B14</f>
        <v>0</v>
      </c>
      <c r="C14" s="13">
        <f>'Projection'!E14</f>
        <v>0</v>
      </c>
      <c r="D14" s="12">
        <f>'Projection'!F14</f>
        <v>0</v>
      </c>
      <c r="E14" s="12">
        <f>'Projection'!G14</f>
        <v>0</v>
      </c>
    </row>
    <row r="15" spans="2:5">
      <c r="B15" s="5">
        <f>'Projection'!B15</f>
        <v>0</v>
      </c>
      <c r="C15" s="13">
        <f>'Projection'!E15</f>
        <v>0</v>
      </c>
      <c r="D15" s="12">
        <f>'Projection'!F15</f>
        <v>0</v>
      </c>
      <c r="E15" s="12">
        <f>'Projection'!G15</f>
        <v>0</v>
      </c>
    </row>
    <row r="16" spans="2:5">
      <c r="B16" s="5">
        <f>'Projection'!B16</f>
        <v>0</v>
      </c>
      <c r="C16" s="13">
        <f>'Projection'!E16</f>
        <v>0</v>
      </c>
      <c r="D16" s="12">
        <f>'Projection'!F16</f>
        <v>0</v>
      </c>
      <c r="E16" s="12">
        <f>'Projection'!G16</f>
        <v>0</v>
      </c>
    </row>
    <row r="17" spans="2:5">
      <c r="B17" s="5">
        <f>'Projection'!B17</f>
        <v>0</v>
      </c>
      <c r="C17" s="13">
        <f>'Projection'!E17</f>
        <v>0</v>
      </c>
      <c r="D17" s="12">
        <f>'Projection'!F17</f>
        <v>0</v>
      </c>
      <c r="E17" s="12">
        <f>'Projection'!G17</f>
        <v>0</v>
      </c>
    </row>
    <row r="18" spans="2:5">
      <c r="B18" s="5">
        <f>'Projection'!B18</f>
        <v>0</v>
      </c>
      <c r="C18" s="13">
        <f>'Projection'!E18</f>
        <v>0</v>
      </c>
      <c r="D18" s="12">
        <f>'Projection'!F18</f>
        <v>0</v>
      </c>
      <c r="E18" s="12">
        <f>'Projection'!G18</f>
        <v>0</v>
      </c>
    </row>
    <row r="19" spans="2:5">
      <c r="B19" s="5">
        <f>'Projection'!B19</f>
        <v>0</v>
      </c>
      <c r="C19" s="13">
        <f>'Projection'!E19</f>
        <v>0</v>
      </c>
      <c r="D19" s="12">
        <f>'Projection'!F19</f>
        <v>0</v>
      </c>
      <c r="E19" s="12">
        <f>'Projection'!G19</f>
        <v>0</v>
      </c>
    </row>
    <row r="20" spans="2:5">
      <c r="B20" s="5">
        <f>'Projection'!B20</f>
        <v>0</v>
      </c>
      <c r="C20" s="13">
        <f>'Projection'!E20</f>
        <v>0</v>
      </c>
      <c r="D20" s="12">
        <f>'Projection'!F20</f>
        <v>0</v>
      </c>
      <c r="E20" s="12">
        <f>'Projection'!G20</f>
        <v>0</v>
      </c>
    </row>
    <row r="21" spans="2:5">
      <c r="B21" s="5">
        <f>'Projection'!B21</f>
        <v>0</v>
      </c>
      <c r="C21" s="13">
        <f>'Projection'!E21</f>
        <v>0</v>
      </c>
      <c r="D21" s="12">
        <f>'Projection'!F21</f>
        <v>0</v>
      </c>
      <c r="E21" s="12">
        <f>'Projection'!G21</f>
        <v>0</v>
      </c>
    </row>
    <row r="22" spans="2:5">
      <c r="B22" s="5">
        <f>'Projection'!B22</f>
        <v>0</v>
      </c>
      <c r="C22" s="13">
        <f>'Projection'!E22</f>
        <v>0</v>
      </c>
      <c r="D22" s="12">
        <f>'Projection'!F22</f>
        <v>0</v>
      </c>
      <c r="E22" s="12">
        <f>'Projection'!G22</f>
        <v>0</v>
      </c>
    </row>
    <row r="23" spans="2:5">
      <c r="B23" s="5">
        <f>'Projection'!B23</f>
        <v>0</v>
      </c>
      <c r="C23" s="13">
        <f>'Projection'!E23</f>
        <v>0</v>
      </c>
      <c r="D23" s="12">
        <f>'Projection'!F23</f>
        <v>0</v>
      </c>
      <c r="E23" s="12">
        <f>'Projection'!G23</f>
        <v>0</v>
      </c>
    </row>
    <row r="24" spans="2:5">
      <c r="B24" s="5">
        <f>'Projection'!B24</f>
        <v>0</v>
      </c>
      <c r="C24" s="13">
        <f>'Projection'!E24</f>
        <v>0</v>
      </c>
      <c r="D24" s="12">
        <f>'Projection'!F24</f>
        <v>0</v>
      </c>
      <c r="E24" s="12">
        <f>'Projection'!G24</f>
        <v>0</v>
      </c>
    </row>
    <row r="25" spans="2:5">
      <c r="B25" s="5">
        <f>'Projection'!B25</f>
        <v>0</v>
      </c>
      <c r="C25" s="13">
        <f>'Projection'!E25</f>
        <v>0</v>
      </c>
      <c r="D25" s="12">
        <f>'Projection'!F25</f>
        <v>0</v>
      </c>
      <c r="E25" s="12">
        <f>'Projection'!G25</f>
        <v>0</v>
      </c>
    </row>
    <row r="26" spans="2:5">
      <c r="B26" s="5">
        <f>'Projection'!B26</f>
        <v>0</v>
      </c>
      <c r="C26" s="13">
        <f>'Projection'!E26</f>
        <v>0</v>
      </c>
      <c r="D26" s="12">
        <f>'Projection'!F26</f>
        <v>0</v>
      </c>
      <c r="E26" s="12">
        <f>'Projection'!G26</f>
        <v>0</v>
      </c>
    </row>
    <row r="27" spans="2:5">
      <c r="B27" s="5">
        <f>'Projection'!B27</f>
        <v>0</v>
      </c>
      <c r="C27" s="13">
        <f>'Projection'!E27</f>
        <v>0</v>
      </c>
      <c r="D27" s="12">
        <f>'Projection'!F27</f>
        <v>0</v>
      </c>
      <c r="E27" s="12">
        <f>'Projection'!G27</f>
        <v>0</v>
      </c>
    </row>
    <row r="28" spans="2:5">
      <c r="B28" s="5">
        <f>'Projection'!B28</f>
        <v>0</v>
      </c>
      <c r="C28" s="13">
        <f>'Projection'!E28</f>
        <v>0</v>
      </c>
      <c r="D28" s="12">
        <f>'Projection'!F28</f>
        <v>0</v>
      </c>
      <c r="E28" s="12">
        <f>'Projection'!G28</f>
        <v>0</v>
      </c>
    </row>
    <row r="29" spans="2:5">
      <c r="B29" s="5">
        <f>'Projection'!B29</f>
        <v>0</v>
      </c>
      <c r="C29" s="13">
        <f>'Projection'!E29</f>
        <v>0</v>
      </c>
      <c r="D29" s="12">
        <f>'Projection'!F29</f>
        <v>0</v>
      </c>
      <c r="E29" s="12">
        <f>'Projection'!G29</f>
        <v>0</v>
      </c>
    </row>
    <row r="30" spans="2:5">
      <c r="B30" s="5">
        <f>'Projection'!B30</f>
        <v>0</v>
      </c>
      <c r="C30" s="13">
        <f>'Projection'!E30</f>
        <v>0</v>
      </c>
      <c r="D30" s="12">
        <f>'Projection'!F30</f>
        <v>0</v>
      </c>
      <c r="E30" s="12">
        <f>'Projection'!G30</f>
        <v>0</v>
      </c>
    </row>
    <row r="31" spans="2:5">
      <c r="B31" s="5">
        <f>'Projection'!B31</f>
        <v>0</v>
      </c>
      <c r="C31" s="13">
        <f>'Projection'!E31</f>
        <v>0</v>
      </c>
      <c r="D31" s="12">
        <f>'Projection'!F31</f>
        <v>0</v>
      </c>
      <c r="E31" s="12">
        <f>'Projection'!G31</f>
        <v>0</v>
      </c>
    </row>
    <row r="32" spans="2:5">
      <c r="B32" s="5">
        <f>'Projection'!B32</f>
        <v>0</v>
      </c>
      <c r="C32" s="13">
        <f>'Projection'!E32</f>
        <v>0</v>
      </c>
      <c r="D32" s="12">
        <f>'Projection'!F32</f>
        <v>0</v>
      </c>
      <c r="E32" s="12">
        <f>'Projection'!G32</f>
        <v>0</v>
      </c>
    </row>
    <row r="33" spans="2:5">
      <c r="B33" s="5">
        <f>'Projection'!B33</f>
        <v>0</v>
      </c>
      <c r="C33" s="13">
        <f>'Projection'!E33</f>
        <v>0</v>
      </c>
      <c r="D33" s="12">
        <f>'Projection'!F33</f>
        <v>0</v>
      </c>
      <c r="E33" s="12">
        <f>'Projection'!G33</f>
        <v>0</v>
      </c>
    </row>
    <row r="34" spans="2:5">
      <c r="B34" s="5">
        <f>'Projection'!B34</f>
        <v>0</v>
      </c>
      <c r="C34" s="13">
        <f>'Projection'!E34</f>
        <v>0</v>
      </c>
      <c r="D34" s="12">
        <f>'Projection'!F34</f>
        <v>0</v>
      </c>
      <c r="E34" s="12">
        <f>'Projection'!G34</f>
        <v>0</v>
      </c>
    </row>
    <row r="35" spans="2:5">
      <c r="B35" s="5">
        <f>'Projection'!B35</f>
        <v>0</v>
      </c>
      <c r="C35" s="13">
        <f>'Projection'!E35</f>
        <v>0</v>
      </c>
      <c r="D35" s="12">
        <f>'Projection'!F35</f>
        <v>0</v>
      </c>
      <c r="E35" s="12">
        <f>'Projection'!G35</f>
        <v>0</v>
      </c>
    </row>
    <row r="36" spans="2:5">
      <c r="B36" s="5" t="s">
        <v>53</v>
      </c>
      <c r="D36" s="14">
        <f>'Projection'!F36</f>
        <v>0</v>
      </c>
      <c r="E36" s="14">
        <f>'Projection'!G36</f>
        <v>0</v>
      </c>
    </row>
  </sheetData>
  <mergeCells count="2">
    <mergeCell ref="B2:E2"/>
    <mergeCell ref="B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9A5B"/>
  </sheetPr>
  <dimension ref="B2:C10"/>
  <sheetViews>
    <sheetView showGridLines="0" workbookViewId="0"/>
  </sheetViews>
  <sheetFormatPr defaultRowHeight="15"/>
  <cols>
    <col min="1" max="1" width="2.7109375" customWidth="1"/>
    <col min="2" max="2" width="36.7109375" customWidth="1"/>
    <col min="3" max="3" width="20.7109375" customWidth="1"/>
  </cols>
  <sheetData>
    <row r="2" spans="2:3">
      <c r="B2" s="1" t="s">
        <v>63</v>
      </c>
      <c r="C2" s="1"/>
    </row>
    <row r="3" spans="2:3">
      <c r="B3" s="2" t="s">
        <v>64</v>
      </c>
      <c r="C3" s="2"/>
    </row>
    <row r="5" spans="2:3">
      <c r="B5" s="4" t="s">
        <v>65</v>
      </c>
      <c r="C5" s="4"/>
    </row>
    <row r="6" spans="2:3">
      <c r="B6" s="5" t="s">
        <v>66</v>
      </c>
      <c r="C6" s="14">
        <f>ta_total_savings</f>
        <v>0</v>
      </c>
    </row>
    <row r="7" spans="2:3">
      <c r="B7" s="5" t="s">
        <v>55</v>
      </c>
      <c r="C7" s="14">
        <f>ta_npv_savings</f>
        <v>0</v>
      </c>
    </row>
    <row r="8" spans="2:3">
      <c r="B8" s="5" t="s">
        <v>56</v>
      </c>
      <c r="C8" s="12">
        <f>ta_npv_savings/ta_units</f>
        <v>0</v>
      </c>
    </row>
    <row r="9" spans="2:3">
      <c r="B9" s="5" t="s">
        <v>57</v>
      </c>
      <c r="C9" s="14">
        <f>ta_npv_savings/ta_stab_cap</f>
        <v>0</v>
      </c>
    </row>
    <row r="10" spans="2:3">
      <c r="B10" s="5" t="s">
        <v>67</v>
      </c>
      <c r="C10" s="13">
        <f>ta_discount_rate</f>
        <v>0</v>
      </c>
    </row>
  </sheetData>
  <mergeCells count="3">
    <mergeCell ref="B2:C2"/>
    <mergeCell ref="B3:C3"/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E9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8.7109375" customWidth="1"/>
  </cols>
  <sheetData>
    <row r="2" spans="2:5">
      <c r="B2" s="1" t="s">
        <v>68</v>
      </c>
      <c r="C2" s="1"/>
      <c r="D2" s="1"/>
      <c r="E2" s="1"/>
    </row>
    <row r="5" spans="2:5">
      <c r="B5" s="4" t="s">
        <v>69</v>
      </c>
      <c r="C5" s="4"/>
      <c r="D5" s="4"/>
      <c r="E5" s="4"/>
    </row>
    <row r="6" spans="2:5">
      <c r="B6" s="11" t="s">
        <v>70</v>
      </c>
      <c r="C6" s="11" t="s">
        <v>69</v>
      </c>
      <c r="D6" s="11" t="s">
        <v>71</v>
      </c>
      <c r="E6" s="11" t="s">
        <v>72</v>
      </c>
    </row>
    <row r="7" spans="2:5">
      <c r="B7" s="5" t="s">
        <v>73</v>
      </c>
      <c r="C7" s="12">
        <f>ta_stab_NOI-'Projection'!D6</f>
        <v>0</v>
      </c>
      <c r="D7" s="12">
        <f>C7/ta_stab_cap</f>
        <v>0</v>
      </c>
      <c r="E7" s="12">
        <f>D7-D8</f>
        <v>0</v>
      </c>
    </row>
    <row r="8" spans="2:5">
      <c r="B8" s="5" t="s">
        <v>74</v>
      </c>
      <c r="C8" s="12">
        <f>ta_stab_NOI-'Projection'!F6</f>
        <v>0</v>
      </c>
      <c r="D8" s="14">
        <f>C8/ta_stab_cap</f>
        <v>0</v>
      </c>
      <c r="E8" s="12">
        <f>0</f>
        <v>0</v>
      </c>
    </row>
    <row r="9" spans="2:5">
      <c r="B9" s="5" t="s">
        <v>75</v>
      </c>
      <c r="C9" s="12">
        <f>C8-C7</f>
        <v>0</v>
      </c>
      <c r="D9" s="14">
        <f>D8-D7</f>
        <v>0</v>
      </c>
    </row>
  </sheetData>
  <mergeCells count="2">
    <mergeCell ref="B2:E2"/>
    <mergeCell ref="B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E1E2F"/>
  </sheetPr>
  <dimension ref="B2:E1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8.7109375" customWidth="1"/>
  </cols>
  <sheetData>
    <row r="2" spans="2:5">
      <c r="B2" s="1" t="s">
        <v>76</v>
      </c>
      <c r="C2" s="1"/>
      <c r="D2" s="1"/>
      <c r="E2" s="1"/>
    </row>
    <row r="3" spans="2:5">
      <c r="B3" s="2" t="s">
        <v>77</v>
      </c>
      <c r="C3" s="2"/>
      <c r="D3" s="2"/>
      <c r="E3" s="2"/>
    </row>
    <row r="5" spans="2:5">
      <c r="B5" s="4" t="s">
        <v>78</v>
      </c>
      <c r="C5" s="4"/>
      <c r="D5" s="4"/>
      <c r="E5" s="4"/>
    </row>
    <row r="6" spans="2:5">
      <c r="B6" s="5" t="s">
        <v>79</v>
      </c>
      <c r="C6" s="12">
        <f>'Projection'!F30</f>
        <v>0</v>
      </c>
    </row>
    <row r="7" spans="2:5">
      <c r="B7" s="5" t="s">
        <v>80</v>
      </c>
      <c r="C7" s="15">
        <f>'Projection'!D31</f>
        <v>0</v>
      </c>
    </row>
    <row r="8" spans="2:5">
      <c r="B8" s="5" t="s">
        <v>81</v>
      </c>
      <c r="C8" s="15">
        <f>C7-C6</f>
        <v>0</v>
      </c>
    </row>
    <row r="9" spans="2:5">
      <c r="B9" s="5" t="s">
        <v>82</v>
      </c>
      <c r="C9" s="12">
        <f>-C8</f>
        <v>0</v>
      </c>
    </row>
    <row r="10" spans="2:5">
      <c r="B10" s="5" t="s">
        <v>83</v>
      </c>
      <c r="C10" s="15">
        <f>C9/ta_stab_cap</f>
        <v>0</v>
      </c>
    </row>
    <row r="11" spans="2:5">
      <c r="B11" s="5" t="s">
        <v>84</v>
      </c>
      <c r="C11" s="16">
        <f>(ta_stab_NOI+C9)/(-PMT(ta_rate/12,ta_amort,ta_loan)*12)</f>
        <v>0</v>
      </c>
    </row>
  </sheetData>
  <mergeCells count="3">
    <mergeCell ref="B2:E2"/>
    <mergeCell ref="B3:E3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Instructions</vt:lpstr>
      <vt:lpstr>Inputs</vt:lpstr>
      <vt:lpstr>Program</vt:lpstr>
      <vt:lpstr>Projection</vt:lpstr>
      <vt:lpstr>Market Tax Projection</vt:lpstr>
      <vt:lpstr>Abated Projection</vt:lpstr>
      <vt:lpstr>Benefit Calculation</vt:lpstr>
      <vt:lpstr>Value Impact</vt:lpstr>
      <vt:lpstr>Expiration Shock</vt:lpstr>
      <vt:lpstr>IC Output</vt:lpstr>
      <vt:lpstr>'IC Output'!Print_Area</vt:lpstr>
      <vt:lpstr>ta_address</vt:lpstr>
      <vt:lpstr>ta_amort</vt:lpstr>
      <vt:lpstr>ta_assessment_ratio</vt:lpstr>
      <vt:lpstr>ta_asset_type</vt:lpstr>
      <vt:lpstr>ta_discount_rate</vt:lpstr>
      <vt:lpstr>ta_exempt_y1_20</vt:lpstr>
      <vt:lpstr>ta_loan</vt:lpstr>
      <vt:lpstr>ta_market_value</vt:lpstr>
      <vt:lpstr>ta_name</vt:lpstr>
      <vt:lpstr>ta_npv_savings</vt:lpstr>
      <vt:lpstr>ta_phase_y21</vt:lpstr>
      <vt:lpstr>ta_phase_y22</vt:lpstr>
      <vt:lpstr>ta_phase_y23</vt:lpstr>
      <vt:lpstr>ta_phase_y24</vt:lpstr>
      <vt:lpstr>ta_phase_y25</vt:lpstr>
      <vt:lpstr>ta_preset</vt:lpstr>
      <vt:lpstr>ta_program_name</vt:lpstr>
      <vt:lpstr>ta_rate</vt:lpstr>
      <vt:lpstr>ta_stab_cap</vt:lpstr>
      <vt:lpstr>ta_stab_NOI</vt:lpstr>
      <vt:lpstr>ta_tax_rate</vt:lpstr>
      <vt:lpstr>ta_total_savings</vt:lpstr>
      <vt:lpstr>ta_units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2026-05-29T23:25:30Z</dcterms:created>
  <dcterms:modified xsi:type="dcterms:W3CDTF">2026-05-29T23:25:30Z</dcterms:modified>
</cp:coreProperties>
</file>