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over" sheetId="1" r:id="rId1"/>
    <sheet name="Deal Summary" sheetId="2" r:id="rId2"/>
    <sheet name="Sources Uses" sheetId="3" r:id="rId3"/>
    <sheet name="Rent Roll" sheetId="4" r:id="rId4"/>
    <sheet name="T-12" sheetId="5" r:id="rId5"/>
    <sheet name="Pro Forma" sheetId="6" r:id="rId6"/>
    <sheet name="Construction" sheetId="7" r:id="rId7"/>
    <sheet name="Loan Sizing" sheetId="8" r:id="rId8"/>
    <sheet name="Valuation" sheetId="9" r:id="rId9"/>
    <sheet name="Exit Refi" sheetId="10" r:id="rId10"/>
    <sheet name="Sensitivity" sheetId="11" r:id="rId11"/>
    <sheet name="Dashboard" sheetId="12" r:id="rId12"/>
    <sheet name="IC Output" sheetId="13" r:id="rId13"/>
    <sheet name="Data Checks" sheetId="14" r:id="rId14"/>
  </sheets>
  <definedNames>
    <definedName name="cfg_address">'Cover'!$D$6</definedName>
    <definedName name="cfg_assetType">'Cover'!$D$7</definedName>
    <definedName name="cfg_dealName">'Cover'!$D$5</definedName>
    <definedName name="cfg_dealType">'Cover'!$D$8</definedName>
    <definedName name="cfg_modelDate">'Cover'!$D$11</definedName>
    <definedName name="cfg_preparedBy">'Cover'!$D$10</definedName>
    <definedName name="cfg_sponsor">'Cover'!$D$9</definedName>
    <definedName name="cmp_allInRate">'Deal Summary'!$C$36</definedName>
    <definedName name="cmp_annualDebtSvc">'Loan Sizing'!$C$9</definedName>
    <definedName name="cmp_contingency">'Sources Uses'!$C$16</definedName>
    <definedName name="cmp_GPR_rentRoll">'Rent Roll'!$G$15</definedName>
    <definedName name="cmp_interestReserve">'Sources Uses'!$C$12</definedName>
    <definedName name="cmp_loanByDSCR">'Loan Sizing'!$D$16</definedName>
    <definedName name="cmp_loanByDY">'Loan Sizing'!$D$15</definedName>
    <definedName name="cmp_loanByLTC">'Loan Sizing'!$D$13</definedName>
    <definedName name="cmp_loanByLTV">'Loan Sizing'!$D$14</definedName>
    <definedName name="cmp_loanConstant">'Loan Sizing'!$C$8</definedName>
    <definedName name="cmp_NOI_exit">'Valuation'!$C$24</definedName>
    <definedName name="cmp_T12_EGI">'T-12'!$O$15</definedName>
    <definedName name="cmp_T12_NOI">'T-12'!$O$32</definedName>
    <definedName name="cmp_T12_opex">'T-12'!$O$30</definedName>
    <definedName name="cmp_totalSources">'Sources Uses'!$C$36</definedName>
    <definedName name="cmp_unitCount_rentRoll">'Rent Roll'!$C$15</definedName>
    <definedName name="in_amort">'Deal Summary'!$C$30</definedName>
    <definedName name="in_avgOutstandingPct">'Sources Uses'!$C$22</definedName>
    <definedName name="in_buildingSF">'Deal Summary'!$C$14</definedName>
    <definedName name="in_capRatePreset">'Valuation'!$C$6</definedName>
    <definedName name="in_contingencyPct">'Sources Uses'!$C$21</definedName>
    <definedName name="in_creditLoss">'Pro Forma'!$C$12</definedName>
    <definedName name="in_exitCap">'Valuation'!$C$11</definedName>
    <definedName name="in_exitFee">'Deal Summary'!$C$35</definedName>
    <definedName name="in_goingInCap">'Valuation'!$C$9</definedName>
    <definedName name="in_holdPeriod">'Valuation'!$C$12</definedName>
    <definedName name="in_indexRate">'Deal Summary'!$C$31</definedName>
    <definedName name="in_ioPeriod">'Deal Summary'!$C$29</definedName>
    <definedName name="in_landAcres">'Deal Summary'!$C$15</definedName>
    <definedName name="in_loanRequest">'Deal Summary'!$C$23</definedName>
    <definedName name="in_loanType">'Deal Summary'!$C$27</definedName>
    <definedName name="in_maxLTC">'Loan Sizing'!$C$13</definedName>
    <definedName name="in_maxLTV">'Loan Sizing'!$C$14</definedName>
    <definedName name="in_mgmtFeePct">'Pro Forma'!$C$14</definedName>
    <definedName name="in_minDSCR">'Loan Sizing'!$C$16</definedName>
    <definedName name="in_minDY">'Loan Sizing'!$C$15</definedName>
    <definedName name="in_opexInflation">'Pro Forma'!$C$13</definedName>
    <definedName name="in_origFee">'Deal Summary'!$C$34</definedName>
    <definedName name="in_otherIncomeGrowth">'Pro Forma'!$C$10</definedName>
    <definedName name="in_rateFloor">'Deal Summary'!$C$33</definedName>
    <definedName name="in_recommendation">'Deal Summary'!$C$50</definedName>
    <definedName name="in_refiConstant">'Exit Refi'!$C$16</definedName>
    <definedName name="in_refiMaxLTV">'Exit Refi'!$C$19</definedName>
    <definedName name="in_refiMinDSCR">'Exit Refi'!$C$17</definedName>
    <definedName name="in_refiMinDY">'Exit Refi'!$C$18</definedName>
    <definedName name="in_rentGrowth">'Pro Forma'!$C$9</definedName>
    <definedName name="in_replCostPerUnit">'Valuation'!$C$19</definedName>
    <definedName name="in_reservesPerUnit">'Pro Forma'!$C$15</definedName>
    <definedName name="in_salesCostPct">'Valuation'!$C$13</definedName>
    <definedName name="in_spread">'Deal Summary'!$C$32</definedName>
    <definedName name="in_srcGP">'Sources Uses'!$C$31</definedName>
    <definedName name="in_srcGrants">'Sources Uses'!$C$33</definedName>
    <definedName name="in_srcLP">'Sources Uses'!$C$32</definedName>
    <definedName name="in_srcMezz">'Sources Uses'!$C$28</definedName>
    <definedName name="in_srcOther">'Sources Uses'!$C$34</definedName>
    <definedName name="in_srcPACE">'Sources Uses'!$C$30</definedName>
    <definedName name="in_srcPref">'Sources Uses'!$C$29</definedName>
    <definedName name="in_srcSenior">'Sources Uses'!$C$27</definedName>
    <definedName name="in_stab_contract">'Pro Forma'!$C$21</definedName>
    <definedName name="in_stab_ga">'Pro Forma'!$C$23</definedName>
    <definedName name="in_stab_insurance">'Pro Forma'!$C$17</definedName>
    <definedName name="in_stab_marketing">'Pro Forma'!$C$22</definedName>
    <definedName name="in_stab_occupancy">'Pro Forma'!$C$6</definedName>
    <definedName name="in_stab_other">'Pro Forma'!$C$24</definedName>
    <definedName name="in_stab_otherIncomePerUnit">'Pro Forma'!$C$8</definedName>
    <definedName name="in_stab_payroll">'Pro Forma'!$C$18</definedName>
    <definedName name="in_stab_rentPerUnit">'Pro Forma'!$C$7</definedName>
    <definedName name="in_stab_rm">'Pro Forma'!$C$19</definedName>
    <definedName name="in_stab_taxes">'Pro Forma'!$C$16</definedName>
    <definedName name="in_stab_utilities">'Pro Forma'!$C$20</definedName>
    <definedName name="in_stab_vacancy">'Pro Forma'!$C$11</definedName>
    <definedName name="in_stabilizedCap">'Valuation'!$C$10</definedName>
    <definedName name="in_term">'Deal Summary'!$C$28</definedName>
    <definedName name="in_unitCount">'Deal Summary'!$C$13</definedName>
    <definedName name="in_useClosing">'Sources Uses'!$C$15</definedName>
    <definedName name="in_useFFE">'Sources Uses'!$C$10</definedName>
    <definedName name="in_useFinancing">'Sources Uses'!$C$11</definedName>
    <definedName name="in_useHardCost">'Sources Uses'!$C$8</definedName>
    <definedName name="in_useOpReserve">'Sources Uses'!$C$13</definedName>
    <definedName name="in_useOther">'Sources Uses'!$C$17</definedName>
    <definedName name="in_usePurchase">'Sources Uses'!$C$7</definedName>
    <definedName name="in_useSoftCost">'Sources Uses'!$C$9</definedName>
    <definedName name="in_useTIReserve">'Sources Uses'!$C$14</definedName>
    <definedName name="in_yearBuilt">'Deal Summary'!$C$16</definedName>
    <definedName name="out_dataChecksPass">'Data Checks'!$D$21</definedName>
    <definedName name="out_debtYield">'Loan Sizing'!$C$26</definedName>
    <definedName name="out_debtYield_exit">'Loan Sizing'!$C$28</definedName>
    <definedName name="out_DSCR">'Loan Sizing'!$C$27</definedName>
    <definedName name="out_EGI_stabilized">'Pro Forma'!$C$32</definedName>
    <definedName name="out_loanCushion">'Loan Sizing'!$C$21</definedName>
    <definedName name="out_LTC">'Loan Sizing'!$C$24</definedName>
    <definedName name="out_LTC">'Sources Uses'!$C$41</definedName>
    <definedName name="out_LTV_stab">'Loan Sizing'!$C$25</definedName>
    <definedName name="out_maxLoan">'Loan Sizing'!$C$19</definedName>
    <definedName name="out_netToEquity">'Exit Refi'!$C$13</definedName>
    <definedName name="out_NOI_stabilized">'Pro Forma'!$C$48</definedName>
    <definedName name="out_opex_stabilized">'Pro Forma'!$C$46</definedName>
    <definedName name="out_refiMaxLoan">'Exit Refi'!$C$24</definedName>
    <definedName name="out_salePrice">'Exit Refi'!$C$9</definedName>
    <definedName name="out_SUgap">'Sources Uses'!$C$37</definedName>
    <definedName name="out_TPC">'Sources Uses'!$C$19</definedName>
    <definedName name="out_value_exit">'Valuation'!$C$25</definedName>
    <definedName name="out_value_stab">'Valuation'!$C$16</definedName>
    <definedName name="out_YOC">'Pro Forma'!$C$53</definedName>
    <definedName name="_xlnm.Print_Area" localSheetId="0">Cover!$A$1:$F$44</definedName>
    <definedName name="_xlnm.Print_Area" localSheetId="11">Dashboard!$A$1:$F$28</definedName>
    <definedName name="_xlnm.Print_Area" localSheetId="1">'Deal Summary'!$A$1:$E$60</definedName>
    <definedName name="_xlnm.Print_Area" localSheetId="12">'IC Output'!$A$1:$D$51</definedName>
    <definedName name="_xlnm.Print_Area" localSheetId="7">'Loan Sizing'!$A$1:$F$30</definedName>
    <definedName name="_xlnm.Print_Area" localSheetId="5">'Pro Forma'!$A$1:$F$54</definedName>
    <definedName name="_xlnm.Print_Area" localSheetId="2">'Sources Uses'!$A$1:$G$45</definedName>
  </definedNames>
  <calcPr calcId="124519" fullCalcOnLoad="1"/>
</workbook>
</file>

<file path=xl/sharedStrings.xml><?xml version="1.0" encoding="utf-8"?>
<sst xmlns="http://schemas.openxmlformats.org/spreadsheetml/2006/main" count="457" uniqueCount="381">
  <si>
    <t>Valore Registry · UW Workbook</t>
  </si>
  <si>
    <t>Version 1.0 · 2026-05-21</t>
  </si>
  <si>
    <t>Deal name</t>
  </si>
  <si>
    <t>Latham Mews</t>
  </si>
  <si>
    <t>Property address</t>
  </si>
  <si>
    <t>12200 Carolina Pines Dr, Charlotte NC 28269</t>
  </si>
  <si>
    <t>Asset type</t>
  </si>
  <si>
    <t>Multifamily</t>
  </si>
  <si>
    <t>Deal type</t>
  </si>
  <si>
    <t>Construction</t>
  </si>
  <si>
    <t>Sponsor / borrower</t>
  </si>
  <si>
    <t>Latham Capital Partners</t>
  </si>
  <si>
    <t>Prepared by</t>
  </si>
  <si>
    <t>Latham Capital Analyst Team</t>
  </si>
  <si>
    <t>Model date</t>
  </si>
  <si>
    <t>2026-05-21</t>
  </si>
  <si>
    <t>Status</t>
  </si>
  <si>
    <t>INSTRUCTIONS</t>
  </si>
  <si>
    <t>1. Fill blue input cells. Required fields are highlighted tan.</t>
  </si>
  <si>
    <t>2. Outputs (black) calculate automatically. Do not overwrite.</t>
  </si>
  <si>
    <t>3. Set Asset type and Deal type first — these drive downstream conventions.</t>
  </si>
  <si>
    <t>4. Review the Data Checks tab. Print only when all checks pass.</t>
  </si>
  <si>
    <t>5. Print Cover, Deal Summary, Loan Sizing, Valuation, Metrics Dashboard, IC Output for IC packets.</t>
  </si>
  <si>
    <t>COLOR LEGEND</t>
  </si>
  <si>
    <t>Input blue</t>
  </si>
  <si>
    <t>User-entered hardcodes</t>
  </si>
  <si>
    <t>Formula</t>
  </si>
  <si>
    <t>Calculated (do not edit)</t>
  </si>
  <si>
    <t>Output brass</t>
  </si>
  <si>
    <t>Key headline metrics</t>
  </si>
  <si>
    <t>Required tan</t>
  </si>
  <si>
    <t>Must be filled for valid output</t>
  </si>
  <si>
    <t>Warning red</t>
  </si>
  <si>
    <t>Triggered warnings (Data Checks)</t>
  </si>
  <si>
    <t>MODELING CONVENTIONS</t>
  </si>
  <si>
    <t>All currency in USD. No implicit inflation.</t>
  </si>
  <si>
    <t>All ratios stated as decimals in formula bar; render as percent.</t>
  </si>
  <si>
    <t>DSCR computed on actual annual debt service (not constant-amortizing assumption).</t>
  </si>
  <si>
    <t>Debt yield = stabilized NOI / loan amount (binding constraint, not at-issuance).</t>
  </si>
  <si>
    <t>Stabilized = year-3 for new construction, year-1 for permanent / refinance.</t>
  </si>
  <si>
    <t>DISCLAIMER</t>
  </si>
  <si>
    <t>This workbook is an analytical tool. Outputs reflect user inputs. The workbook does not replace professional underwriting, third-party reports, or counsel. Verify all assumptions against deal-specific diligence.</t>
  </si>
  <si>
    <t>Deal Summary</t>
  </si>
  <si>
    <t>Single-page snapshot for IC distribution</t>
  </si>
  <si>
    <t>IDENTITY</t>
  </si>
  <si>
    <t>Address</t>
  </si>
  <si>
    <t>Sponsor</t>
  </si>
  <si>
    <t>SCALE</t>
  </si>
  <si>
    <t>Units / Keys / SF</t>
  </si>
  <si>
    <t>Building SF</t>
  </si>
  <si>
    <t>Land (acres)</t>
  </si>
  <si>
    <t>Year built / delivered</t>
  </si>
  <si>
    <t>BASIS</t>
  </si>
  <si>
    <t>Purchase / land basis</t>
  </si>
  <si>
    <t>Total project cost (TPC)</t>
  </si>
  <si>
    <t>Cost / unit</t>
  </si>
  <si>
    <t>Cost / SF</t>
  </si>
  <si>
    <t>Loan request</t>
  </si>
  <si>
    <t>Equity required</t>
  </si>
  <si>
    <t>FINANCING</t>
  </si>
  <si>
    <t>Loan type</t>
  </si>
  <si>
    <t>Construction + Miniperm</t>
  </si>
  <si>
    <t>Term (months)</t>
  </si>
  <si>
    <t>IO period</t>
  </si>
  <si>
    <t>Amortization</t>
  </si>
  <si>
    <t>Index rate</t>
  </si>
  <si>
    <t>Spread</t>
  </si>
  <si>
    <t>Rate floor</t>
  </si>
  <si>
    <t>Origination fee</t>
  </si>
  <si>
    <t>Exit fee</t>
  </si>
  <si>
    <t>All-in rate (computed)</t>
  </si>
  <si>
    <t>OUTPUT METRICS</t>
  </si>
  <si>
    <t>LTC</t>
  </si>
  <si>
    <t>LTV (as-stabilized)</t>
  </si>
  <si>
    <t>Debt yield</t>
  </si>
  <si>
    <t>DSCR</t>
  </si>
  <si>
    <t>Exit debt yield</t>
  </si>
  <si>
    <t>Yield-on-cost</t>
  </si>
  <si>
    <t>Stabilized NOI</t>
  </si>
  <si>
    <t>As-stabilized value</t>
  </si>
  <si>
    <t>Sale price (exit)</t>
  </si>
  <si>
    <t>RECOMMENDATION</t>
  </si>
  <si>
    <t>Decision</t>
  </si>
  <si>
    <t>Proceed</t>
  </si>
  <si>
    <t>KEY UNDERWRITING NOTES</t>
  </si>
  <si>
    <t>Sources &amp; Uses</t>
  </si>
  <si>
    <t>Cap stack and cost build, side by side</t>
  </si>
  <si>
    <t>USES</t>
  </si>
  <si>
    <t>Line item</t>
  </si>
  <si>
    <t>Amount</t>
  </si>
  <si>
    <t>$/unit</t>
  </si>
  <si>
    <t>$/SF</t>
  </si>
  <si>
    <t>% of TPC</t>
  </si>
  <si>
    <t>Notes</t>
  </si>
  <si>
    <t>Hard costs</t>
  </si>
  <si>
    <t>Soft costs</t>
  </si>
  <si>
    <t>FF&amp;E</t>
  </si>
  <si>
    <t>Financing costs</t>
  </si>
  <si>
    <t>Interest reserve</t>
  </si>
  <si>
    <t>Operating reserve</t>
  </si>
  <si>
    <t>Tax/insurance reserve</t>
  </si>
  <si>
    <t>Closing costs</t>
  </si>
  <si>
    <t>Contingency</t>
  </si>
  <si>
    <t>Other</t>
  </si>
  <si>
    <t>TOTAL USES (TPC)</t>
  </si>
  <si>
    <t>Contingency % of hard</t>
  </si>
  <si>
    <t>Avg outstanding loan % (interest reserve)</t>
  </si>
  <si>
    <t>SOURCES</t>
  </si>
  <si>
    <t>Source</t>
  </si>
  <si>
    <t>Senior loan</t>
  </si>
  <si>
    <t>Mezzanine</t>
  </si>
  <si>
    <t>Preferred equity</t>
  </si>
  <si>
    <t>C-PACE</t>
  </si>
  <si>
    <t>Sponsor / GP equity</t>
  </si>
  <si>
    <t>LP equity</t>
  </si>
  <si>
    <t>Grants / incentives</t>
  </si>
  <si>
    <t>TOTAL SOURCES</t>
  </si>
  <si>
    <t>Surplus / (shortfall)</t>
  </si>
  <si>
    <t>CHART DATA (do not edit)</t>
  </si>
  <si>
    <t>Category</t>
  </si>
  <si>
    <t>Purchase / Land</t>
  </si>
  <si>
    <t>Hard Costs</t>
  </si>
  <si>
    <t>Soft Costs</t>
  </si>
  <si>
    <t>Financing</t>
  </si>
  <si>
    <t>Interest Reserve</t>
  </si>
  <si>
    <t>Reserves</t>
  </si>
  <si>
    <t>Closing</t>
  </si>
  <si>
    <t>Other Uses</t>
  </si>
  <si>
    <t>Senior Loan</t>
  </si>
  <si>
    <t>Pref Equity</t>
  </si>
  <si>
    <t>GP Equity</t>
  </si>
  <si>
    <t>LP Equity</t>
  </si>
  <si>
    <t>Grants / Other</t>
  </si>
  <si>
    <t>KEY METRICS</t>
  </si>
  <si>
    <t>LTC (senior / TPC)</t>
  </si>
  <si>
    <t>Equity %</t>
  </si>
  <si>
    <t>Rent Roll · Multifamily</t>
  </si>
  <si>
    <t>Unit-type by unit-type. Drives in-place income.</t>
  </si>
  <si>
    <t>Unit type</t>
  </si>
  <si>
    <t>Units</t>
  </si>
  <si>
    <t>Avg SF</t>
  </si>
  <si>
    <t>Market rent</t>
  </si>
  <si>
    <t>In-place rent</t>
  </si>
  <si>
    <t>Annual GPR (mkt)</t>
  </si>
  <si>
    <t>Rent / SF</t>
  </si>
  <si>
    <t>Loss-to-lease %</t>
  </si>
  <si>
    <t>Vacancy %</t>
  </si>
  <si>
    <t>1BR/1BA</t>
  </si>
  <si>
    <t>1BR Studio premium below market</t>
  </si>
  <si>
    <t>2BR/2BA</t>
  </si>
  <si>
    <t>Largest mix</t>
  </si>
  <si>
    <t>3BR/2BA</t>
  </si>
  <si>
    <t>Premium tier</t>
  </si>
  <si>
    <t>TOTAL</t>
  </si>
  <si>
    <t>T-12 Operations</t>
  </si>
  <si>
    <t>Twelve months of historical operations. For new construction this tab is informational only.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</si>
  <si>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</si>
  <si>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</si>
  <si>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</si>
  <si>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</si>
  <si>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</si>
  <si>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</si>
  <si>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</si>
  <si>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</si>
  <si>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</si>
  <si>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</si>
  <si>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</si>
  <si>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</si>
  <si>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total</t>
  </si>
  <si>
    <t>REVENUE</t>
  </si>
  <si>
    <t>Gross potential rent</t>
  </si>
  <si>
    <t>Loss-to-lease (-)</t>
  </si>
  <si>
    <t>Vacancy (-)</t>
  </si>
  <si>
    <t>Concessions (-)</t>
  </si>
  <si>
    <t>Bad debt (-)</t>
  </si>
  <si>
    <t>Other income</t>
  </si>
  <si>
    <t>Effective Gross Income</t>
  </si>
  <si>
    <t>OPERATING EXPENSES</t>
  </si>
  <si>
    <t>Payroll</t>
  </si>
  <si>
    <t>Repairs &amp; maintenance</t>
  </si>
  <si>
    <t>Utilities</t>
  </si>
  <si>
    <t>Property taxes</t>
  </si>
  <si>
    <t>Insurance</t>
  </si>
  <si>
    <t>Management fee</t>
  </si>
  <si>
    <t>Contract services</t>
  </si>
  <si>
    <t>Marketing</t>
  </si>
  <si>
    <t>G&amp;A</t>
  </si>
  <si>
    <t>Replacement reserves</t>
  </si>
  <si>
    <t>Other operating</t>
  </si>
  <si>
    <t>Total OpEx</t>
  </si>
  <si>
    <t>NOI</t>
  </si>
  <si>
    <t>Stabilized Pro Forma</t>
  </si>
  <si>
    <t>Year-3-stabilized NOI for new construction; Year-1 for permanent / refinance.</t>
  </si>
  <si>
    <t>ASSUMPTIONS</t>
  </si>
  <si>
    <t>Stabilized occupancy</t>
  </si>
  <si>
    <t>Stabilized rent / unit</t>
  </si>
  <si>
    <t>Other income / unit / mo</t>
  </si>
  <si>
    <t>Rent growth</t>
  </si>
  <si>
    <t>Other income growth</t>
  </si>
  <si>
    <t>Credit loss %</t>
  </si>
  <si>
    <t>Opex inflation</t>
  </si>
  <si>
    <t>Management fee %</t>
  </si>
  <si>
    <t>Reserves / unit / year</t>
  </si>
  <si>
    <t>Stabilized property taxes</t>
  </si>
  <si>
    <t>Stabilized insurance</t>
  </si>
  <si>
    <t>Stabilized payroll</t>
  </si>
  <si>
    <t>Stabilized R&amp;M</t>
  </si>
  <si>
    <t>Stabilized utilities</t>
  </si>
  <si>
    <t>Stabilized contract svcs</t>
  </si>
  <si>
    <t>Stabilized marketing</t>
  </si>
  <si>
    <t>Stabilized G&amp;A</t>
  </si>
  <si>
    <t>Stabilized other opex</t>
  </si>
  <si>
    <t>STABILIZED P&amp;L</t>
  </si>
  <si>
    <t>Gross Potential Rent (GPR)</t>
  </si>
  <si>
    <t>Other income (annual)</t>
  </si>
  <si>
    <t>Less: vacancy</t>
  </si>
  <si>
    <t>Less: credit loss</t>
  </si>
  <si>
    <t>Effective Gross Income (EGI)</t>
  </si>
  <si>
    <t>Operating Expenses</t>
  </si>
  <si>
    <t>Other opex</t>
  </si>
  <si>
    <t>STABILIZED NOI</t>
  </si>
  <si>
    <t>NOI / unit / year</t>
  </si>
  <si>
    <t>Expense ratio</t>
  </si>
  <si>
    <t>NOI margin</t>
  </si>
  <si>
    <t>Construction / Renovation Budget</t>
  </si>
  <si>
    <t>Detailed cost breakdown. Applicable when deal type is Construction or Value-add.</t>
  </si>
  <si>
    <t>HARD COSTS</t>
  </si>
  <si>
    <t>Site work</t>
  </si>
  <si>
    <t>Foundation</t>
  </si>
  <si>
    <t>Structure / shell</t>
  </si>
  <si>
    <t>MEP</t>
  </si>
  <si>
    <t>Interior finishes</t>
  </si>
  <si>
    <t>Site improvements</t>
  </si>
  <si>
    <t>Hard subtotal</t>
  </si>
  <si>
    <t>Hard contingency (5%)</t>
  </si>
  <si>
    <t>Total hard costs</t>
  </si>
  <si>
    <t>SOFT COSTS</t>
  </si>
  <si>
    <t>Architecture / engineering</t>
  </si>
  <si>
    <t>Survey / environmental / geotech</t>
  </si>
  <si>
    <t>Legal</t>
  </si>
  <si>
    <t>Insurance (builders risk, GL)</t>
  </si>
  <si>
    <t>Permits + impact fees</t>
  </si>
  <si>
    <t>Marketing / lease-up</t>
  </si>
  <si>
    <t>Property taxes during construction</t>
  </si>
  <si>
    <t>Developer fee</t>
  </si>
  <si>
    <t>Soft subtotal</t>
  </si>
  <si>
    <t>PER-UNIT METRICS</t>
  </si>
  <si>
    <t>Hard / unit</t>
  </si>
  <si>
    <t>Soft / unit</t>
  </si>
  <si>
    <t>Total / unit</t>
  </si>
  <si>
    <t>Loan Sizing</t>
  </si>
  <si>
    <t>Four-constraint test (LTC / LTV / DY / DSCR). Identifies the binding constraint.</t>
  </si>
  <si>
    <t>FINANCING TERMS</t>
  </si>
  <si>
    <t>All-in rate</t>
  </si>
  <si>
    <t>Loan constant (annual)</t>
  </si>
  <si>
    <t>Annual debt service (stabilized)</t>
  </si>
  <si>
    <t>SIZING TESTS</t>
  </si>
  <si>
    <t>Constraint</t>
  </si>
  <si>
    <t>Threshold</t>
  </si>
  <si>
    <t>Max loan</t>
  </si>
  <si>
    <t>Construction governor</t>
  </si>
  <si>
    <t>Valuation governor</t>
  </si>
  <si>
    <t>Debt yield (min)</t>
  </si>
  <si>
    <t>Yield governor — lender-side</t>
  </si>
  <si>
    <t>DSCR (min)</t>
  </si>
  <si>
    <t>Cashflow governor</t>
  </si>
  <si>
    <t>BINDING CONSTRAINT</t>
  </si>
  <si>
    <t>Maximum supportable loan</t>
  </si>
  <si>
    <t>Requested loan</t>
  </si>
  <si>
    <t>Cushion / (shortfall)</t>
  </si>
  <si>
    <t>ACTUAL RATIOS AT REQUESTED LOAN</t>
  </si>
  <si>
    <t>Exit debt yield (Y5 NOI w/ 3% rent growth)</t>
  </si>
  <si>
    <t>Max Loan</t>
  </si>
  <si>
    <t>Requested Loan</t>
  </si>
  <si>
    <t>LTV</t>
  </si>
  <si>
    <t>Debt Yield</t>
  </si>
  <si>
    <t>Valuation</t>
  </si>
  <si>
    <t>Income approach primary; sales-comp reference; replacement-cost reference.</t>
  </si>
  <si>
    <t>CAP RATE PRESET</t>
  </si>
  <si>
    <t>Asset class preset</t>
  </si>
  <si>
    <t>Multifamily Sun Belt</t>
  </si>
  <si>
    <t>Select preset to auto-fill going-in, stabilized, and exit cap rates below. Choose Custom to enter manually.</t>
  </si>
  <si>
    <t>INCOME APPROACH INPUTS</t>
  </si>
  <si>
    <t>Going-in cap rate</t>
  </si>
  <si>
    <t>Stabilized cap rate</t>
  </si>
  <si>
    <t>Exit cap rate</t>
  </si>
  <si>
    <t>Hold period (years)</t>
  </si>
  <si>
    <t>Sales costs %</t>
  </si>
  <si>
    <t>VALUES</t>
  </si>
  <si>
    <t>Implied $/unit</t>
  </si>
  <si>
    <t>Implied $/SF</t>
  </si>
  <si>
    <t>Replacement cost reference</t>
  </si>
  <si>
    <t>Replacement cost (total)</t>
  </si>
  <si>
    <t>Value / replacement cost</t>
  </si>
  <si>
    <t>EXIT VALUE (TRENDED)</t>
  </si>
  <si>
    <t>Exit NOI (trended)</t>
  </si>
  <si>
    <t>Exit value</t>
  </si>
  <si>
    <t>Exit / Refinance</t>
  </si>
  <si>
    <t>Sale and refinance scenarios.</t>
  </si>
  <si>
    <t>SALE SCENARIO</t>
  </si>
  <si>
    <t>Exit NOI</t>
  </si>
  <si>
    <t>Sale price (gross)</t>
  </si>
  <si>
    <t>Less: selling costs</t>
  </si>
  <si>
    <t>Net sale proceeds</t>
  </si>
  <si>
    <t>Less: loan payoff</t>
  </si>
  <si>
    <t>Net to equity</t>
  </si>
  <si>
    <t>REFINANCE SCENARIO</t>
  </si>
  <si>
    <t>Refi loan constant</t>
  </si>
  <si>
    <t>Refi min DSCR</t>
  </si>
  <si>
    <t>Refi min DY</t>
  </si>
  <si>
    <t>Refi max LTV</t>
  </si>
  <si>
    <t>Max refi loan (DSCR)</t>
  </si>
  <si>
    <t>Max refi loan (DY)</t>
  </si>
  <si>
    <t>Max refi loan (LTV)</t>
  </si>
  <si>
    <t>Maximum refi loan</t>
  </si>
  <si>
    <t>Cash-out at refi</t>
  </si>
  <si>
    <t>Sensitivity Analysis</t>
  </si>
  <si>
    <t>Static sensitivity tables. v1 ships 3 of 8 planned tables; remainder in v1.1.</t>
  </si>
  <si>
    <t>TABLE 1 — CAP RATE × NOI → AS-STABILIZED VALUE</t>
  </si>
  <si>
    <t>Cap rate \ NOI</t>
  </si>
  <si>
    <t>TABLE 2 — DSCR × INTEREST RATE → MAX SUPPORTABLE LOAN</t>
  </si>
  <si>
    <t>Rate \ DSCR</t>
  </si>
  <si>
    <t>TABLE 3 — EXIT CAP × RENT GROWTH → EXIT VALUE</t>
  </si>
  <si>
    <t>Cap \ Rent grw</t>
  </si>
  <si>
    <t>Metrics Dashboard</t>
  </si>
  <si>
    <t>Single-page IC-ready summary</t>
  </si>
  <si>
    <t>Deal</t>
  </si>
  <si>
    <t>Date</t>
  </si>
  <si>
    <t>TPC</t>
  </si>
  <si>
    <t>Loan</t>
  </si>
  <si>
    <t>Equity</t>
  </si>
  <si>
    <t>LEVERAGE</t>
  </si>
  <si>
    <t>Exit DY</t>
  </si>
  <si>
    <t>YOC</t>
  </si>
  <si>
    <t>INCOME</t>
  </si>
  <si>
    <t>Stab NOI</t>
  </si>
  <si>
    <t>NOI/unit</t>
  </si>
  <si>
    <t>Stab EGI</t>
  </si>
  <si>
    <t>Op Expense</t>
  </si>
  <si>
    <t>EXIT</t>
  </si>
  <si>
    <t>Sale price</t>
  </si>
  <si>
    <t>Refi max</t>
  </si>
  <si>
    <t>As-stab value</t>
  </si>
  <si>
    <t>IC Output</t>
  </si>
  <si>
    <t>Copy-paste content for IC memo. Plain-text formatting.</t>
  </si>
  <si>
    <t>[DEAL NAME] — Investment Committee Memo</t>
  </si>
  <si>
    <t>Deal name:</t>
  </si>
  <si>
    <t>Prepared by:</t>
  </si>
  <si>
    <t>Date:</t>
  </si>
  <si>
    <t>Status:</t>
  </si>
  <si>
    <t>EXECUTIVE SUMMARY</t>
  </si>
  <si>
    <t>Metric</t>
  </si>
  <si>
    <t>Value</t>
  </si>
  <si>
    <t>SOURCES &amp; USES (SUMMARY)</t>
  </si>
  <si>
    <t>Total project cost</t>
  </si>
  <si>
    <t>Mezz / pref</t>
  </si>
  <si>
    <t>Sponsor + LP equity</t>
  </si>
  <si>
    <t>Other (C-PACE, grants)</t>
  </si>
  <si>
    <t>KEY RISKS</t>
  </si>
  <si>
    <t>MITIGANTS</t>
  </si>
  <si>
    <t>Data Checks</t>
  </si>
  <si>
    <t>Integrity monitor. Cover tab status reads from this tab.</t>
  </si>
  <si>
    <t>Check</t>
  </si>
  <si>
    <t>Severity</t>
  </si>
  <si>
    <t>Sources = Uses</t>
  </si>
  <si>
    <t>Error</t>
  </si>
  <si>
    <t>Deal name filled</t>
  </si>
  <si>
    <t>Asset type selected</t>
  </si>
  <si>
    <t>NOI positive</t>
  </si>
  <si>
    <t>LTV within threshold</t>
  </si>
  <si>
    <t>Warning</t>
  </si>
  <si>
    <t>DY within threshold</t>
  </si>
  <si>
    <t>DSCR within threshold</t>
  </si>
  <si>
    <t>Stabilized rent input</t>
  </si>
  <si>
    <t>Vacancy reasonable</t>
  </si>
  <si>
    <t>Cap rate reasonable</t>
  </si>
  <si>
    <t>Exit cap &gt;= going-in</t>
  </si>
  <si>
    <t>Loan cushion non-negative</t>
  </si>
  <si>
    <t>Spread reasonable</t>
  </si>
  <si>
    <t>Term reasonable</t>
  </si>
  <si>
    <t>ALL CHECKS PASSING</t>
  </si>
</sst>
</file>

<file path=xl/styles.xml><?xml version="1.0" encoding="utf-8"?>
<styleSheet xmlns="http://schemas.openxmlformats.org/spreadsheetml/2006/main">
  <numFmts count="8">
    <numFmt numFmtId="164" formatCode="#,##0"/>
    <numFmt numFmtId="165" formatCode="_($* #,##0_);_($* (#,##0);_($* &quot;-&quot;_);_(@_)"/>
    <numFmt numFmtId="166" formatCode="0&quot; mo&quot;"/>
    <numFmt numFmtId="167" formatCode="0.00%"/>
    <numFmt numFmtId="168" formatCode="#,##0&quot; bps&quot;"/>
    <numFmt numFmtId="169" formatCode="0.0%"/>
    <numFmt numFmtId="170" formatCode="0.00&quot;x&quot;"/>
    <numFmt numFmtId="171" formatCode="0.0&quot; yr&quot;"/>
  </numFmts>
  <fonts count="17">
    <font>
      <sz val="11"/>
      <color theme="1"/>
      <name val="Calibri"/>
      <family val="2"/>
      <scheme val="minor"/>
    </font>
    <font>
      <b/>
      <sz val="16"/>
      <color rgb="FF0B1A33"/>
      <name val="Cambria"/>
      <family val="2"/>
    </font>
    <font>
      <i/>
      <sz val="11"/>
      <color rgb="FF3D4757"/>
      <name val="Cambria"/>
      <family val="2"/>
    </font>
    <font>
      <sz val="10"/>
      <color rgb="FF3D4757"/>
      <name val="Calibri"/>
      <family val="2"/>
      <scheme val="minor"/>
    </font>
    <font>
      <sz val="10"/>
      <color rgb="FF1F4E79"/>
      <name val="Calibri"/>
      <family val="2"/>
      <scheme val="minor"/>
    </font>
    <font>
      <b/>
      <sz val="10"/>
      <color rgb="FF0B1A33"/>
      <name val="Calibri"/>
      <family val="2"/>
      <scheme val="minor"/>
    </font>
    <font>
      <sz val="10"/>
      <color rgb="FF16192A"/>
      <name val="Calibri"/>
      <family val="2"/>
      <scheme val="minor"/>
    </font>
    <font>
      <b/>
      <sz val="11"/>
      <color rgb="FFFAF6EE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B89A5B"/>
      <name val="Calibri"/>
      <family val="2"/>
      <scheme val="minor"/>
    </font>
    <font>
      <b/>
      <sz val="10"/>
      <color rgb="FFC00000"/>
      <name val="Calibri"/>
      <family val="2"/>
      <scheme val="minor"/>
    </font>
    <font>
      <i/>
      <sz val="10"/>
      <color rgb="FF3D4757"/>
      <name val="Calibri"/>
      <family val="2"/>
      <scheme val="minor"/>
    </font>
    <font>
      <b/>
      <sz val="9"/>
      <color rgb="FFB89A5B"/>
      <name val="Calibri"/>
      <family val="2"/>
      <scheme val="minor"/>
    </font>
    <font>
      <b/>
      <sz val="20"/>
      <color rgb="FF0B1A33"/>
      <name val="Cambria"/>
      <family val="2"/>
    </font>
    <font>
      <sz val="9"/>
      <color rgb="FF3D4757"/>
      <name val="Calibri"/>
      <family val="2"/>
      <scheme val="minor"/>
    </font>
    <font>
      <b/>
      <sz val="10"/>
      <color rgb="FF006100"/>
      <name val="Calibri"/>
      <family val="2"/>
      <scheme val="minor"/>
    </font>
    <font>
      <sz val="9"/>
      <color rgb="FF3D4757"/>
      <name val="Consolas"/>
      <family val="2"/>
    </font>
  </fonts>
  <fills count="6">
    <fill>
      <patternFill patternType="none"/>
    </fill>
    <fill>
      <patternFill patternType="gray125"/>
    </fill>
    <fill>
      <patternFill patternType="solid">
        <fgColor rgb="FFD8D2C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B1A33"/>
        <bgColor indexed="64"/>
      </patternFill>
    </fill>
  </fills>
  <borders count="3">
    <border>
      <left/>
      <right/>
      <top/>
      <bottom/>
      <diagonal/>
    </border>
    <border>
      <left style="thin">
        <color rgb="FFD8D2C4"/>
      </left>
      <right style="thin">
        <color rgb="FFD8D2C4"/>
      </right>
      <top style="thin">
        <color rgb="FFD8D2C4"/>
      </top>
      <bottom style="thin">
        <color rgb="FFD8D2C4"/>
      </bottom>
      <diagonal/>
    </border>
    <border>
      <left/>
      <right/>
      <top style="medium">
        <color rgb="FF0B1A33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5" borderId="0" xfId="0" applyFont="1" applyFill="1" applyAlignment="1">
      <alignment horizontal="left" vertical="center" indent="1"/>
    </xf>
    <xf numFmtId="0" fontId="8" fillId="0" borderId="0" xfId="0" applyFont="1"/>
    <xf numFmtId="0" fontId="9" fillId="0" borderId="1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164" fontId="4" fillId="4" borderId="1" xfId="0" applyNumberFormat="1" applyFont="1" applyFill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6" fontId="4" fillId="4" borderId="1" xfId="0" applyNumberFormat="1" applyFont="1" applyFill="1" applyBorder="1" applyAlignment="1">
      <alignment horizontal="right"/>
    </xf>
    <xf numFmtId="167" fontId="4" fillId="4" borderId="1" xfId="0" applyNumberFormat="1" applyFont="1" applyFill="1" applyBorder="1" applyAlignment="1">
      <alignment horizontal="right"/>
    </xf>
    <xf numFmtId="168" fontId="4" fillId="4" borderId="1" xfId="0" applyNumberFormat="1" applyFont="1" applyFill="1" applyBorder="1" applyAlignment="1">
      <alignment horizontal="right"/>
    </xf>
    <xf numFmtId="167" fontId="6" fillId="0" borderId="0" xfId="0" applyNumberFormat="1" applyFont="1" applyAlignment="1">
      <alignment horizontal="right"/>
    </xf>
    <xf numFmtId="169" fontId="9" fillId="0" borderId="1" xfId="0" applyNumberFormat="1" applyFont="1" applyBorder="1" applyAlignment="1">
      <alignment horizontal="right"/>
    </xf>
    <xf numFmtId="170" fontId="9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169" fontId="6" fillId="0" borderId="0" xfId="0" applyNumberFormat="1" applyFont="1" applyAlignment="1">
      <alignment horizontal="right"/>
    </xf>
    <xf numFmtId="165" fontId="4" fillId="3" borderId="1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left"/>
    </xf>
    <xf numFmtId="165" fontId="5" fillId="0" borderId="2" xfId="0" applyNumberFormat="1" applyFont="1" applyBorder="1" applyAlignment="1">
      <alignment horizontal="right"/>
    </xf>
    <xf numFmtId="169" fontId="5" fillId="0" borderId="2" xfId="0" applyNumberFormat="1" applyFont="1" applyBorder="1" applyAlignment="1">
      <alignment horizontal="right"/>
    </xf>
    <xf numFmtId="170" fontId="4" fillId="4" borderId="1" xfId="0" applyNumberFormat="1" applyFont="1" applyFill="1" applyBorder="1" applyAlignment="1">
      <alignment horizontal="right"/>
    </xf>
    <xf numFmtId="171" fontId="4" fillId="4" borderId="1" xfId="0" applyNumberFormat="1" applyFont="1" applyFill="1" applyBorder="1" applyAlignment="1">
      <alignment horizontal="right"/>
    </xf>
    <xf numFmtId="170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65" fontId="13" fillId="0" borderId="0" xfId="0" applyNumberFormat="1" applyFont="1" applyAlignment="1">
      <alignment horizontal="right"/>
    </xf>
    <xf numFmtId="169" fontId="13" fillId="0" borderId="0" xfId="0" applyNumberFormat="1" applyFont="1" applyAlignment="1">
      <alignment horizontal="right"/>
    </xf>
    <xf numFmtId="170" fontId="13" fillId="0" borderId="0" xfId="0" applyNumberFormat="1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</cellXfs>
  <cellStyles count="1">
    <cellStyle name="Normal" xfId="0" builtinId="0"/>
  </cellStyles>
  <dxfs count="2">
    <dxf>
      <font>
        <b/>
        <color rgb="FFC00000"/>
      </font>
    </dxf>
    <dxf>
      <font>
        <b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Sources &amp; Uses - Capital Stack</a:t>
            </a:r>
          </a:p>
        </c:rich>
      </c:tx>
      <c:layout/>
    </c:title>
    <c:plotArea>
      <c:layout/>
      <c:barChart>
        <c:barDir val="bar"/>
        <c:grouping val="stacked"/>
        <c:ser>
          <c:idx val="0"/>
          <c:order val="0"/>
          <c:tx>
            <c:strRef>
              <c:f>'Sources Uses'!$F$46</c:f>
              <c:strCache>
                <c:ptCount val="1"/>
                <c:pt idx="0">
                  <c:v>Purchase / Land</c:v>
                </c:pt>
              </c:strCache>
            </c:strRef>
          </c:tx>
          <c:spPr>
            <a:solidFill>
              <a:srgbClr val="0B1A33"/>
            </a:solidFill>
          </c:spPr>
          <c:cat>
            <c:strRef>
              <c:f>'Sources Uses'!$F$46:$F$55</c:f>
              <c:strCache>
                <c:ptCount val="10"/>
                <c:pt idx="0">
                  <c:v>Purchase / Land</c:v>
                </c:pt>
                <c:pt idx="1">
                  <c:v>Hard Costs</c:v>
                </c:pt>
                <c:pt idx="2">
                  <c:v>Soft Costs</c:v>
                </c:pt>
                <c:pt idx="3">
                  <c:v>FF&amp;E</c:v>
                </c:pt>
                <c:pt idx="4">
                  <c:v>Financing</c:v>
                </c:pt>
                <c:pt idx="5">
                  <c:v>Interest Reserve</c:v>
                </c:pt>
                <c:pt idx="6">
                  <c:v>Reserves</c:v>
                </c:pt>
                <c:pt idx="7">
                  <c:v>Closing</c:v>
                </c:pt>
                <c:pt idx="8">
                  <c:v>Contingency</c:v>
                </c:pt>
                <c:pt idx="9">
                  <c:v>Other Uses</c:v>
                </c:pt>
              </c:strCache>
            </c:strRef>
          </c:cat>
          <c:val>
            <c:numRef>
              <c:f>'Sources Uses'!$G$46:$G$46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'Sources Uses'!$F$47</c:f>
              <c:strCache>
                <c:ptCount val="1"/>
                <c:pt idx="0">
                  <c:v>Hard Costs</c:v>
                </c:pt>
              </c:strCache>
            </c:strRef>
          </c:tx>
          <c:spPr>
            <a:solidFill>
              <a:srgbClr val="3D4757"/>
            </a:solidFill>
          </c:spPr>
          <c:cat>
            <c:strRef>
              <c:f>'Sources Uses'!$F$46:$F$55</c:f>
              <c:strCache>
                <c:ptCount val="10"/>
                <c:pt idx="0">
                  <c:v>Purchase / Land</c:v>
                </c:pt>
                <c:pt idx="1">
                  <c:v>Hard Costs</c:v>
                </c:pt>
                <c:pt idx="2">
                  <c:v>Soft Costs</c:v>
                </c:pt>
                <c:pt idx="3">
                  <c:v>FF&amp;E</c:v>
                </c:pt>
                <c:pt idx="4">
                  <c:v>Financing</c:v>
                </c:pt>
                <c:pt idx="5">
                  <c:v>Interest Reserve</c:v>
                </c:pt>
                <c:pt idx="6">
                  <c:v>Reserves</c:v>
                </c:pt>
                <c:pt idx="7">
                  <c:v>Closing</c:v>
                </c:pt>
                <c:pt idx="8">
                  <c:v>Contingency</c:v>
                </c:pt>
                <c:pt idx="9">
                  <c:v>Other Uses</c:v>
                </c:pt>
              </c:strCache>
            </c:strRef>
          </c:cat>
          <c:val>
            <c:numRef>
              <c:f>'Sources Uses'!$G$47:$G$47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'Sources Uses'!$F$48</c:f>
              <c:strCache>
                <c:ptCount val="1"/>
                <c:pt idx="0">
                  <c:v>Soft Costs</c:v>
                </c:pt>
              </c:strCache>
            </c:strRef>
          </c:tx>
          <c:spPr>
            <a:solidFill>
              <a:srgbClr val="6B7280"/>
            </a:solidFill>
          </c:spPr>
          <c:cat>
            <c:strRef>
              <c:f>'Sources Uses'!$F$46:$F$55</c:f>
              <c:strCache>
                <c:ptCount val="10"/>
                <c:pt idx="0">
                  <c:v>Purchase / Land</c:v>
                </c:pt>
                <c:pt idx="1">
                  <c:v>Hard Costs</c:v>
                </c:pt>
                <c:pt idx="2">
                  <c:v>Soft Costs</c:v>
                </c:pt>
                <c:pt idx="3">
                  <c:v>FF&amp;E</c:v>
                </c:pt>
                <c:pt idx="4">
                  <c:v>Financing</c:v>
                </c:pt>
                <c:pt idx="5">
                  <c:v>Interest Reserve</c:v>
                </c:pt>
                <c:pt idx="6">
                  <c:v>Reserves</c:v>
                </c:pt>
                <c:pt idx="7">
                  <c:v>Closing</c:v>
                </c:pt>
                <c:pt idx="8">
                  <c:v>Contingency</c:v>
                </c:pt>
                <c:pt idx="9">
                  <c:v>Other Uses</c:v>
                </c:pt>
              </c:strCache>
            </c:strRef>
          </c:cat>
          <c:val>
            <c:numRef>
              <c:f>'Sources Uses'!$G$48:$G$48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'Sources Uses'!$F$49</c:f>
              <c:strCache>
                <c:ptCount val="1"/>
                <c:pt idx="0">
                  <c:v>FF&amp;E</c:v>
                </c:pt>
              </c:strCache>
            </c:strRef>
          </c:tx>
          <c:spPr>
            <a:solidFill>
              <a:srgbClr val="B89A5B"/>
            </a:solidFill>
          </c:spPr>
          <c:cat>
            <c:strRef>
              <c:f>'Sources Uses'!$F$46:$F$55</c:f>
              <c:strCache>
                <c:ptCount val="10"/>
                <c:pt idx="0">
                  <c:v>Purchase / Land</c:v>
                </c:pt>
                <c:pt idx="1">
                  <c:v>Hard Costs</c:v>
                </c:pt>
                <c:pt idx="2">
                  <c:v>Soft Costs</c:v>
                </c:pt>
                <c:pt idx="3">
                  <c:v>FF&amp;E</c:v>
                </c:pt>
                <c:pt idx="4">
                  <c:v>Financing</c:v>
                </c:pt>
                <c:pt idx="5">
                  <c:v>Interest Reserve</c:v>
                </c:pt>
                <c:pt idx="6">
                  <c:v>Reserves</c:v>
                </c:pt>
                <c:pt idx="7">
                  <c:v>Closing</c:v>
                </c:pt>
                <c:pt idx="8">
                  <c:v>Contingency</c:v>
                </c:pt>
                <c:pt idx="9">
                  <c:v>Other Uses</c:v>
                </c:pt>
              </c:strCache>
            </c:strRef>
          </c:cat>
          <c:val>
            <c:numRef>
              <c:f>'Sources Uses'!$G$49:$G$49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'Sources Uses'!$F$50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rgbClr val="F5EFE0"/>
            </a:solidFill>
          </c:spPr>
          <c:cat>
            <c:strRef>
              <c:f>'Sources Uses'!$F$46:$F$55</c:f>
              <c:strCache>
                <c:ptCount val="10"/>
                <c:pt idx="0">
                  <c:v>Purchase / Land</c:v>
                </c:pt>
                <c:pt idx="1">
                  <c:v>Hard Costs</c:v>
                </c:pt>
                <c:pt idx="2">
                  <c:v>Soft Costs</c:v>
                </c:pt>
                <c:pt idx="3">
                  <c:v>FF&amp;E</c:v>
                </c:pt>
                <c:pt idx="4">
                  <c:v>Financing</c:v>
                </c:pt>
                <c:pt idx="5">
                  <c:v>Interest Reserve</c:v>
                </c:pt>
                <c:pt idx="6">
                  <c:v>Reserves</c:v>
                </c:pt>
                <c:pt idx="7">
                  <c:v>Closing</c:v>
                </c:pt>
                <c:pt idx="8">
                  <c:v>Contingency</c:v>
                </c:pt>
                <c:pt idx="9">
                  <c:v>Other Uses</c:v>
                </c:pt>
              </c:strCache>
            </c:strRef>
          </c:cat>
          <c:val>
            <c:numRef>
              <c:f>'Sources Uses'!$G$50:$G$50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'Sources Uses'!$F$51</c:f>
              <c:strCache>
                <c:ptCount val="1"/>
                <c:pt idx="0">
                  <c:v>Interest Reserve</c:v>
                </c:pt>
              </c:strCache>
            </c:strRef>
          </c:tx>
          <c:spPr>
            <a:solidFill>
              <a:srgbClr val="D8D2C4"/>
            </a:solidFill>
          </c:spPr>
          <c:cat>
            <c:strRef>
              <c:f>'Sources Uses'!$F$46:$F$55</c:f>
              <c:strCache>
                <c:ptCount val="10"/>
                <c:pt idx="0">
                  <c:v>Purchase / Land</c:v>
                </c:pt>
                <c:pt idx="1">
                  <c:v>Hard Costs</c:v>
                </c:pt>
                <c:pt idx="2">
                  <c:v>Soft Costs</c:v>
                </c:pt>
                <c:pt idx="3">
                  <c:v>FF&amp;E</c:v>
                </c:pt>
                <c:pt idx="4">
                  <c:v>Financing</c:v>
                </c:pt>
                <c:pt idx="5">
                  <c:v>Interest Reserve</c:v>
                </c:pt>
                <c:pt idx="6">
                  <c:v>Reserves</c:v>
                </c:pt>
                <c:pt idx="7">
                  <c:v>Closing</c:v>
                </c:pt>
                <c:pt idx="8">
                  <c:v>Contingency</c:v>
                </c:pt>
                <c:pt idx="9">
                  <c:v>Other Uses</c:v>
                </c:pt>
              </c:strCache>
            </c:strRef>
          </c:cat>
          <c:val>
            <c:numRef>
              <c:f>'Sources Uses'!$G$51:$G$51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'Sources Uses'!$F$52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rgbClr val="9CA3AF"/>
            </a:solidFill>
          </c:spPr>
          <c:cat>
            <c:strRef>
              <c:f>'Sources Uses'!$F$46:$F$55</c:f>
              <c:strCache>
                <c:ptCount val="10"/>
                <c:pt idx="0">
                  <c:v>Purchase / Land</c:v>
                </c:pt>
                <c:pt idx="1">
                  <c:v>Hard Costs</c:v>
                </c:pt>
                <c:pt idx="2">
                  <c:v>Soft Costs</c:v>
                </c:pt>
                <c:pt idx="3">
                  <c:v>FF&amp;E</c:v>
                </c:pt>
                <c:pt idx="4">
                  <c:v>Financing</c:v>
                </c:pt>
                <c:pt idx="5">
                  <c:v>Interest Reserve</c:v>
                </c:pt>
                <c:pt idx="6">
                  <c:v>Reserves</c:v>
                </c:pt>
                <c:pt idx="7">
                  <c:v>Closing</c:v>
                </c:pt>
                <c:pt idx="8">
                  <c:v>Contingency</c:v>
                </c:pt>
                <c:pt idx="9">
                  <c:v>Other Uses</c:v>
                </c:pt>
              </c:strCache>
            </c:strRef>
          </c:cat>
          <c:val>
            <c:numRef>
              <c:f>'Sources Uses'!$G$52:$G$52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'Sources Uses'!$F$53</c:f>
              <c:strCache>
                <c:ptCount val="1"/>
                <c:pt idx="0">
                  <c:v>Closing</c:v>
                </c:pt>
              </c:strCache>
            </c:strRef>
          </c:tx>
          <c:spPr>
            <a:solidFill>
              <a:srgbClr val="6E1E2F"/>
            </a:solidFill>
          </c:spPr>
          <c:cat>
            <c:strRef>
              <c:f>'Sources Uses'!$F$46:$F$55</c:f>
              <c:strCache>
                <c:ptCount val="10"/>
                <c:pt idx="0">
                  <c:v>Purchase / Land</c:v>
                </c:pt>
                <c:pt idx="1">
                  <c:v>Hard Costs</c:v>
                </c:pt>
                <c:pt idx="2">
                  <c:v>Soft Costs</c:v>
                </c:pt>
                <c:pt idx="3">
                  <c:v>FF&amp;E</c:v>
                </c:pt>
                <c:pt idx="4">
                  <c:v>Financing</c:v>
                </c:pt>
                <c:pt idx="5">
                  <c:v>Interest Reserve</c:v>
                </c:pt>
                <c:pt idx="6">
                  <c:v>Reserves</c:v>
                </c:pt>
                <c:pt idx="7">
                  <c:v>Closing</c:v>
                </c:pt>
                <c:pt idx="8">
                  <c:v>Contingency</c:v>
                </c:pt>
                <c:pt idx="9">
                  <c:v>Other Uses</c:v>
                </c:pt>
              </c:strCache>
            </c:strRef>
          </c:cat>
          <c:val>
            <c:numRef>
              <c:f>'Sources Uses'!$G$53:$G$53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'Sources Uses'!$F$54</c:f>
              <c:strCache>
                <c:ptCount val="1"/>
                <c:pt idx="0">
                  <c:v>Contingency</c:v>
                </c:pt>
              </c:strCache>
            </c:strRef>
          </c:tx>
          <c:spPr>
            <a:solidFill>
              <a:srgbClr val="8B9467"/>
            </a:solidFill>
          </c:spPr>
          <c:cat>
            <c:strRef>
              <c:f>'Sources Uses'!$F$46:$F$55</c:f>
              <c:strCache>
                <c:ptCount val="10"/>
                <c:pt idx="0">
                  <c:v>Purchase / Land</c:v>
                </c:pt>
                <c:pt idx="1">
                  <c:v>Hard Costs</c:v>
                </c:pt>
                <c:pt idx="2">
                  <c:v>Soft Costs</c:v>
                </c:pt>
                <c:pt idx="3">
                  <c:v>FF&amp;E</c:v>
                </c:pt>
                <c:pt idx="4">
                  <c:v>Financing</c:v>
                </c:pt>
                <c:pt idx="5">
                  <c:v>Interest Reserve</c:v>
                </c:pt>
                <c:pt idx="6">
                  <c:v>Reserves</c:v>
                </c:pt>
                <c:pt idx="7">
                  <c:v>Closing</c:v>
                </c:pt>
                <c:pt idx="8">
                  <c:v>Contingency</c:v>
                </c:pt>
                <c:pt idx="9">
                  <c:v>Other Uses</c:v>
                </c:pt>
              </c:strCache>
            </c:strRef>
          </c:cat>
          <c:val>
            <c:numRef>
              <c:f>'Sources Uses'!$G$54:$G$54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'Sources Uses'!$F$55</c:f>
              <c:strCache>
                <c:ptCount val="1"/>
                <c:pt idx="0">
                  <c:v>Other Uses</c:v>
                </c:pt>
              </c:strCache>
            </c:strRef>
          </c:tx>
          <c:spPr>
            <a:solidFill>
              <a:srgbClr val="C4B5A0"/>
            </a:solidFill>
          </c:spPr>
          <c:cat>
            <c:strRef>
              <c:f>'Sources Uses'!$F$46:$F$55</c:f>
              <c:strCache>
                <c:ptCount val="10"/>
                <c:pt idx="0">
                  <c:v>Purchase / Land</c:v>
                </c:pt>
                <c:pt idx="1">
                  <c:v>Hard Costs</c:v>
                </c:pt>
                <c:pt idx="2">
                  <c:v>Soft Costs</c:v>
                </c:pt>
                <c:pt idx="3">
                  <c:v>FF&amp;E</c:v>
                </c:pt>
                <c:pt idx="4">
                  <c:v>Financing</c:v>
                </c:pt>
                <c:pt idx="5">
                  <c:v>Interest Reserve</c:v>
                </c:pt>
                <c:pt idx="6">
                  <c:v>Reserves</c:v>
                </c:pt>
                <c:pt idx="7">
                  <c:v>Closing</c:v>
                </c:pt>
                <c:pt idx="8">
                  <c:v>Contingency</c:v>
                </c:pt>
                <c:pt idx="9">
                  <c:v>Other Uses</c:v>
                </c:pt>
              </c:strCache>
            </c:strRef>
          </c:cat>
          <c:val>
            <c:numRef>
              <c:f>'Sources Uses'!$G$55:$G$55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gapWidth val="80"/>
        <c:overlap val="100"/>
        <c:axId val="50010001"/>
        <c:axId val="50010002"/>
      </c:barChart>
      <c:catAx>
        <c:axId val="50010001"/>
        <c:scaling>
          <c:orientation val="minMax"/>
        </c:scaling>
        <c:axPos val="l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b"/>
        <c:majorGridlines/>
        <c:numFmt formatCode="$#,##0" sourceLinked="0"/>
        <c:tickLblPos val="nextTo"/>
        <c:crossAx val="50010001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layout/>
      <c:txPr>
        <a:bodyPr/>
        <a:lstStyle/>
        <a:p>
          <a:pPr>
            <a:defRPr sz="700" baseline="0">
              <a:latin typeface="Calibri"/>
            </a:defRPr>
          </a:pPr>
          <a:endParaRPr lang="en-US"/>
        </a:p>
      </c:txPr>
    </c:legend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Max Supportable Loan by Constraint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Max Supportable Loan</c:v>
          </c:tx>
          <c:spPr>
            <a:solidFill>
              <a:srgbClr val="B89A5B"/>
            </a:solidFill>
          </c:spPr>
          <c:cat>
            <c:strRef>
              <c:f>'Loan Sizing'!$B$33:$B$36</c:f>
              <c:strCache>
                <c:ptCount val="4"/>
                <c:pt idx="0">
                  <c:v>LTC</c:v>
                </c:pt>
                <c:pt idx="1">
                  <c:v>LTV</c:v>
                </c:pt>
                <c:pt idx="2">
                  <c:v>Debt Yield</c:v>
                </c:pt>
                <c:pt idx="3">
                  <c:v>DSCR</c:v>
                </c:pt>
              </c:strCache>
            </c:strRef>
          </c:cat>
          <c:val>
            <c:numRef>
              <c:f>'Loan Sizing'!$C$33:$C$36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Requested Loan</c:v>
          </c:tx>
          <c:spPr>
            <a:solidFill>
              <a:srgbClr val="6E1E2F"/>
            </a:solidFill>
          </c:spPr>
          <c:cat>
            <c:strRef>
              <c:f>'Loan Sizing'!$B$33:$B$36</c:f>
              <c:strCache>
                <c:ptCount val="4"/>
                <c:pt idx="0">
                  <c:v>LTC</c:v>
                </c:pt>
                <c:pt idx="1">
                  <c:v>LTV</c:v>
                </c:pt>
                <c:pt idx="2">
                  <c:v>Debt Yield</c:v>
                </c:pt>
                <c:pt idx="3">
                  <c:v>DSCR</c:v>
                </c:pt>
              </c:strCache>
            </c:strRef>
          </c:cat>
          <c:val>
            <c:numRef>
              <c:f>'Loan Sizing'!$D$33:$D$36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Loan Amount ($)</a:t>
                </a:r>
              </a:p>
            </c:rich>
          </c:tx>
          <c:layout/>
        </c:title>
        <c:numFmt formatCode="$#,##0" sourceLinked="0"/>
        <c:tickLblPos val="nextTo"/>
        <c:crossAx val="50020001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/>
      <c:txPr>
        <a:bodyPr/>
        <a:lstStyle/>
        <a:p>
          <a:pPr>
            <a:defRPr sz="900" baseline="0">
              <a:latin typeface="Calibri"/>
            </a:defRPr>
          </a:pPr>
          <a:endParaRPr lang="en-US"/>
        </a:p>
      </c:txPr>
    </c:legend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49</xdr:row>
      <xdr:rowOff>0</xdr:rowOff>
    </xdr:from>
    <xdr:to>
      <xdr:col>4</xdr:col>
      <xdr:colOff>123825</xdr:colOff>
      <xdr:row>62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3</xdr:col>
      <xdr:colOff>971550</xdr:colOff>
      <xdr:row>50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B1A33"/>
  </sheetPr>
  <dimension ref="B2:E43"/>
  <sheetViews>
    <sheetView showGridLines="0" tabSelected="1" workbookViewId="0"/>
  </sheetViews>
  <sheetFormatPr defaultRowHeight="15"/>
  <cols>
    <col min="1" max="1" width="2.7109375" customWidth="1"/>
    <col min="2" max="2" width="18.7109375" customWidth="1"/>
    <col min="3" max="3" width="36.7109375" customWidth="1"/>
    <col min="4" max="4" width="50.7109375" customWidth="1"/>
    <col min="5" max="5" width="18.7109375" customWidth="1"/>
  </cols>
  <sheetData>
    <row r="2" spans="2:5">
      <c r="B2" s="1" t="s">
        <v>0</v>
      </c>
      <c r="C2" s="1"/>
      <c r="D2" s="1"/>
      <c r="E2" s="1"/>
    </row>
    <row r="3" spans="2:5">
      <c r="B3" s="2" t="s">
        <v>1</v>
      </c>
      <c r="C3" s="2"/>
      <c r="D3" s="2"/>
      <c r="E3" s="2"/>
    </row>
    <row r="4" spans="2:5" s="3" customFormat="1" ht="6" customHeight="1"/>
    <row r="5" spans="2:5">
      <c r="B5" s="4" t="s">
        <v>2</v>
      </c>
      <c r="D5" s="5" t="s">
        <v>3</v>
      </c>
    </row>
    <row r="6" spans="2:5">
      <c r="B6" s="4" t="s">
        <v>4</v>
      </c>
      <c r="D6" s="6" t="s">
        <v>5</v>
      </c>
    </row>
    <row r="7" spans="2:5">
      <c r="B7" s="4" t="s">
        <v>6</v>
      </c>
      <c r="D7" s="5" t="s">
        <v>7</v>
      </c>
    </row>
    <row r="8" spans="2:5">
      <c r="B8" s="4" t="s">
        <v>8</v>
      </c>
      <c r="D8" s="5" t="s">
        <v>9</v>
      </c>
    </row>
    <row r="9" spans="2:5">
      <c r="B9" s="4" t="s">
        <v>10</v>
      </c>
      <c r="D9" s="6" t="s">
        <v>11</v>
      </c>
    </row>
    <row r="10" spans="2:5">
      <c r="B10" s="4" t="s">
        <v>12</v>
      </c>
      <c r="D10" s="6" t="s">
        <v>13</v>
      </c>
    </row>
    <row r="11" spans="2:5">
      <c r="B11" s="4" t="s">
        <v>14</v>
      </c>
      <c r="D11" s="6" t="s">
        <v>15</v>
      </c>
    </row>
    <row r="13" spans="2:5">
      <c r="B13" s="7" t="s">
        <v>16</v>
      </c>
      <c r="D13" s="8">
        <f>IF(out_dataChecksPass,"All checks passing","WARNINGS — see Data Checks tab")</f>
        <v>0</v>
      </c>
    </row>
    <row r="16" spans="2:5">
      <c r="B16" s="9" t="s">
        <v>17</v>
      </c>
      <c r="C16" s="9"/>
      <c r="D16" s="9"/>
      <c r="E16" s="9"/>
    </row>
    <row r="17" spans="2:5">
      <c r="B17" s="10" t="s">
        <v>18</v>
      </c>
      <c r="C17" s="10"/>
      <c r="D17" s="10"/>
      <c r="E17" s="10"/>
    </row>
    <row r="18" spans="2:5">
      <c r="B18" s="10" t="s">
        <v>19</v>
      </c>
      <c r="C18" s="10"/>
      <c r="D18" s="10"/>
      <c r="E18" s="10"/>
    </row>
    <row r="19" spans="2:5">
      <c r="B19" s="10" t="s">
        <v>20</v>
      </c>
      <c r="C19" s="10"/>
      <c r="D19" s="10"/>
      <c r="E19" s="10"/>
    </row>
    <row r="20" spans="2:5">
      <c r="B20" s="10" t="s">
        <v>21</v>
      </c>
      <c r="C20" s="10"/>
      <c r="D20" s="10"/>
      <c r="E20" s="10"/>
    </row>
    <row r="21" spans="2:5">
      <c r="B21" s="10" t="s">
        <v>22</v>
      </c>
      <c r="C21" s="10"/>
      <c r="D21" s="10"/>
      <c r="E21" s="10"/>
    </row>
    <row r="24" spans="2:5">
      <c r="B24" s="9" t="s">
        <v>23</v>
      </c>
      <c r="C24" s="9"/>
      <c r="D24" s="9"/>
      <c r="E24" s="9"/>
    </row>
    <row r="25" spans="2:5">
      <c r="B25" s="6" t="s">
        <v>24</v>
      </c>
      <c r="C25" s="10" t="s">
        <v>25</v>
      </c>
      <c r="D25" s="10"/>
      <c r="E25" s="10"/>
    </row>
    <row r="26" spans="2:5">
      <c r="B26" s="8" t="s">
        <v>26</v>
      </c>
      <c r="C26" s="10" t="s">
        <v>27</v>
      </c>
      <c r="D26" s="10"/>
      <c r="E26" s="10"/>
    </row>
    <row r="27" spans="2:5">
      <c r="B27" s="11" t="s">
        <v>28</v>
      </c>
      <c r="C27" s="10" t="s">
        <v>29</v>
      </c>
      <c r="D27" s="10"/>
      <c r="E27" s="10"/>
    </row>
    <row r="28" spans="2:5">
      <c r="B28" s="5" t="s">
        <v>30</v>
      </c>
      <c r="C28" s="10" t="s">
        <v>31</v>
      </c>
      <c r="D28" s="10"/>
      <c r="E28" s="10"/>
    </row>
    <row r="29" spans="2:5">
      <c r="B29" s="12" t="s">
        <v>32</v>
      </c>
      <c r="C29" s="10" t="s">
        <v>33</v>
      </c>
      <c r="D29" s="10"/>
      <c r="E29" s="10"/>
    </row>
    <row r="32" spans="2:5">
      <c r="B32" s="9" t="s">
        <v>34</v>
      </c>
      <c r="C32" s="9"/>
      <c r="D32" s="9"/>
      <c r="E32" s="9"/>
    </row>
    <row r="33" spans="2:5">
      <c r="B33" s="10" t="s">
        <v>35</v>
      </c>
      <c r="C33" s="10"/>
      <c r="D33" s="10"/>
      <c r="E33" s="10"/>
    </row>
    <row r="34" spans="2:5">
      <c r="B34" s="10" t="s">
        <v>36</v>
      </c>
      <c r="C34" s="10"/>
      <c r="D34" s="10"/>
      <c r="E34" s="10"/>
    </row>
    <row r="35" spans="2:5">
      <c r="B35" s="10" t="s">
        <v>37</v>
      </c>
      <c r="C35" s="10"/>
      <c r="D35" s="10"/>
      <c r="E35" s="10"/>
    </row>
    <row r="36" spans="2:5">
      <c r="B36" s="10" t="s">
        <v>38</v>
      </c>
      <c r="C36" s="10"/>
      <c r="D36" s="10"/>
      <c r="E36" s="10"/>
    </row>
    <row r="37" spans="2:5">
      <c r="B37" s="10" t="s">
        <v>39</v>
      </c>
      <c r="C37" s="10"/>
      <c r="D37" s="10"/>
      <c r="E37" s="10"/>
    </row>
    <row r="40" spans="2:5">
      <c r="B40" s="9" t="s">
        <v>40</v>
      </c>
      <c r="C40" s="9"/>
      <c r="D40" s="9"/>
      <c r="E40" s="9"/>
    </row>
    <row r="41" spans="2:5">
      <c r="B41" s="13" t="s">
        <v>41</v>
      </c>
      <c r="C41" s="13"/>
      <c r="D41" s="13"/>
      <c r="E41" s="13"/>
    </row>
    <row r="42" spans="2:5">
      <c r="B42" s="13"/>
      <c r="C42" s="13"/>
      <c r="D42" s="13"/>
      <c r="E42" s="13"/>
    </row>
    <row r="43" spans="2:5">
      <c r="B43" s="13"/>
      <c r="C43" s="13"/>
      <c r="D43" s="13"/>
      <c r="E43" s="13"/>
    </row>
  </sheetData>
  <mergeCells count="22">
    <mergeCell ref="B2:E2"/>
    <mergeCell ref="B3:E3"/>
    <mergeCell ref="B16:E16"/>
    <mergeCell ref="B17:E17"/>
    <mergeCell ref="B18:E18"/>
    <mergeCell ref="B19:E19"/>
    <mergeCell ref="B20:E20"/>
    <mergeCell ref="B21:E21"/>
    <mergeCell ref="B24:E24"/>
    <mergeCell ref="C25:E25"/>
    <mergeCell ref="C26:E26"/>
    <mergeCell ref="C27:E27"/>
    <mergeCell ref="C28:E28"/>
    <mergeCell ref="C29:E29"/>
    <mergeCell ref="B32:E32"/>
    <mergeCell ref="B33:E33"/>
    <mergeCell ref="B34:E34"/>
    <mergeCell ref="B35:E35"/>
    <mergeCell ref="B36:E36"/>
    <mergeCell ref="B37:E37"/>
    <mergeCell ref="B40:E40"/>
    <mergeCell ref="B41:E43"/>
  </mergeCells>
  <dataValidations count="2">
    <dataValidation type="list" allowBlank="1" showInputMessage="1" showErrorMessage="1" sqref="D7">
      <formula1>"Multifamily,Industrial,Retail,Hospitality,Office,Mixed-use,Self-storage,Data Center"</formula1>
    </dataValidation>
    <dataValidation type="list" allowBlank="1" showInputMessage="1" showErrorMessage="1" sqref="D8">
      <formula1>"Acquisition,Refinance,Construction,Bridge,Value-add,Permanent debt,Construction + Miniperm"</formula1>
    </dataValidation>
  </dataValidations>
  <pageMargins left="0.5" right="0.5" top="0.5" bottom="0.5" header="0.3" footer="0.3"/>
  <pageSetup paperSize="1" scale="95" orientation="portrait"/>
  <headerFooter>
    <oddHeader>&amp;L&amp;"Cambria,Bold"Valore Registry — UW Workbook&amp;R&amp;[Deal Name]</oddHeader>
    <oddFooter>&amp;LCover&amp;CConfidential — internal use only&amp;RPage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B89A5B"/>
  </sheetPr>
  <dimension ref="B2:E25"/>
  <sheetViews>
    <sheetView showGridLines="0" workbookViewId="0"/>
  </sheetViews>
  <sheetFormatPr defaultRowHeight="15"/>
  <cols>
    <col min="1" max="1" width="2.7109375" customWidth="1"/>
    <col min="2" max="2" width="30.7109375" customWidth="1"/>
    <col min="3" max="3" width="16.7109375" customWidth="1"/>
    <col min="4" max="4" width="14.7109375" customWidth="1"/>
    <col min="5" max="5" width="24.7109375" customWidth="1"/>
  </cols>
  <sheetData>
    <row r="2" spans="2:5">
      <c r="B2" s="1" t="s">
        <v>297</v>
      </c>
      <c r="C2" s="1"/>
      <c r="D2" s="1"/>
      <c r="E2" s="1"/>
    </row>
    <row r="3" spans="2:5">
      <c r="B3" s="2" t="s">
        <v>298</v>
      </c>
      <c r="C3" s="2"/>
      <c r="D3" s="2"/>
      <c r="E3" s="2"/>
    </row>
    <row r="5" spans="2:5">
      <c r="B5" s="9" t="s">
        <v>299</v>
      </c>
      <c r="C5" s="9"/>
      <c r="D5" s="9"/>
      <c r="E5" s="9"/>
    </row>
    <row r="6" spans="2:5">
      <c r="B6" s="4" t="s">
        <v>286</v>
      </c>
      <c r="C6" s="33">
        <f>in_holdPeriod</f>
        <v>0</v>
      </c>
    </row>
    <row r="7" spans="2:5">
      <c r="B7" s="4" t="s">
        <v>300</v>
      </c>
      <c r="C7" s="15">
        <f>cmp_NOI_exit</f>
        <v>0</v>
      </c>
    </row>
    <row r="8" spans="2:5">
      <c r="B8" s="4" t="s">
        <v>285</v>
      </c>
      <c r="C8" s="20">
        <f>in_exitCap</f>
        <v>0</v>
      </c>
    </row>
    <row r="9" spans="2:5">
      <c r="B9" s="7" t="s">
        <v>301</v>
      </c>
      <c r="C9" s="16">
        <f>IFERROR(cmp_NOI_exit/in_exitCap,0)</f>
        <v>0</v>
      </c>
    </row>
    <row r="10" spans="2:5">
      <c r="B10" s="4" t="s">
        <v>302</v>
      </c>
      <c r="C10" s="15">
        <f>-C9*in_salesCostPct</f>
        <v>0</v>
      </c>
    </row>
    <row r="11" spans="2:5">
      <c r="B11" s="4" t="s">
        <v>303</v>
      </c>
      <c r="C11" s="15">
        <f>C9+C10</f>
        <v>0</v>
      </c>
    </row>
    <row r="12" spans="2:5">
      <c r="B12" s="4" t="s">
        <v>304</v>
      </c>
      <c r="C12" s="15">
        <f>-in_loanRequest</f>
        <v>0</v>
      </c>
    </row>
    <row r="13" spans="2:5">
      <c r="B13" s="7" t="s">
        <v>305</v>
      </c>
      <c r="C13" s="16">
        <f>C11+C12</f>
        <v>0</v>
      </c>
    </row>
    <row r="15" spans="2:5">
      <c r="B15" s="9" t="s">
        <v>306</v>
      </c>
      <c r="C15" s="9"/>
      <c r="D15" s="9"/>
      <c r="E15" s="9"/>
    </row>
    <row r="16" spans="2:5">
      <c r="B16" s="4" t="s">
        <v>307</v>
      </c>
      <c r="C16" s="18">
        <v>0.075</v>
      </c>
    </row>
    <row r="17" spans="2:3">
      <c r="B17" s="4" t="s">
        <v>308</v>
      </c>
      <c r="C17" s="30">
        <v>1.25</v>
      </c>
    </row>
    <row r="18" spans="2:3">
      <c r="B18" s="4" t="s">
        <v>309</v>
      </c>
      <c r="C18" s="18">
        <v>0.09</v>
      </c>
    </row>
    <row r="19" spans="2:3">
      <c r="B19" s="4" t="s">
        <v>310</v>
      </c>
      <c r="C19" s="18">
        <v>0.7</v>
      </c>
    </row>
    <row r="21" spans="2:3">
      <c r="B21" s="4" t="s">
        <v>311</v>
      </c>
      <c r="C21" s="15">
        <f>IFERROR(out_NOI_stabilized/(in_refiMinDSCR*in_refiConstant),0)</f>
        <v>0</v>
      </c>
    </row>
    <row r="22" spans="2:3">
      <c r="B22" s="4" t="s">
        <v>312</v>
      </c>
      <c r="C22" s="15">
        <f>IFERROR(out_NOI_stabilized/in_refiMinDY,0)</f>
        <v>0</v>
      </c>
    </row>
    <row r="23" spans="2:3">
      <c r="B23" s="4" t="s">
        <v>313</v>
      </c>
      <c r="C23" s="15">
        <f>IFERROR(out_value_stab*in_refiMaxLTV,0)</f>
        <v>0</v>
      </c>
    </row>
    <row r="24" spans="2:3">
      <c r="B24" s="7" t="s">
        <v>314</v>
      </c>
      <c r="C24" s="16">
        <f>MIN(C21:C23)</f>
        <v>0</v>
      </c>
    </row>
    <row r="25" spans="2:3">
      <c r="B25" s="7" t="s">
        <v>315</v>
      </c>
      <c r="C25" s="16">
        <f>out_refiMaxLoan - in_loanRequest</f>
        <v>0</v>
      </c>
    </row>
  </sheetData>
  <mergeCells count="4">
    <mergeCell ref="B2:E2"/>
    <mergeCell ref="B3:E3"/>
    <mergeCell ref="B5:E5"/>
    <mergeCell ref="B15:E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B89A5B"/>
  </sheetPr>
  <dimension ref="B2:H32"/>
  <sheetViews>
    <sheetView showGridLines="0" workbookViewId="0"/>
  </sheetViews>
  <sheetFormatPr defaultRowHeight="15"/>
  <cols>
    <col min="1" max="1" width="2.7109375" customWidth="1"/>
    <col min="2" max="2" width="18.7109375" customWidth="1"/>
    <col min="3" max="8" width="12.7109375" customWidth="1"/>
  </cols>
  <sheetData>
    <row r="2" spans="2:8">
      <c r="B2" s="1" t="s">
        <v>316</v>
      </c>
      <c r="C2" s="1"/>
      <c r="D2" s="1"/>
      <c r="E2" s="1"/>
      <c r="F2" s="1"/>
      <c r="G2" s="1"/>
      <c r="H2" s="1"/>
    </row>
    <row r="3" spans="2:8">
      <c r="B3" s="2" t="s">
        <v>317</v>
      </c>
      <c r="C3" s="2"/>
      <c r="D3" s="2"/>
      <c r="E3" s="2"/>
      <c r="F3" s="2"/>
      <c r="G3" s="2"/>
      <c r="H3" s="2"/>
    </row>
    <row r="5" spans="2:8">
      <c r="B5" s="9" t="s">
        <v>318</v>
      </c>
      <c r="C5" s="9"/>
      <c r="D5" s="9"/>
      <c r="E5" s="9"/>
      <c r="F5" s="9"/>
      <c r="G5" s="9"/>
      <c r="H5" s="9"/>
    </row>
    <row r="7" spans="2:8">
      <c r="B7" s="7" t="s">
        <v>319</v>
      </c>
      <c r="C7" s="15">
        <f>out_NOI_stabilized * (1 + -0.1)</f>
        <v>0</v>
      </c>
      <c r="D7" s="15">
        <f>out_NOI_stabilized * (1 + -0.05)</f>
        <v>0</v>
      </c>
      <c r="E7" s="15">
        <f>out_NOI_stabilized * (1 + 0)</f>
        <v>0</v>
      </c>
      <c r="F7" s="15">
        <f>out_NOI_stabilized * (1 + 0.05)</f>
        <v>0</v>
      </c>
      <c r="G7" s="15">
        <f>out_NOI_stabilized * (1 + 0.1)</f>
        <v>0</v>
      </c>
    </row>
    <row r="8" spans="2:8">
      <c r="B8" s="20">
        <f>in_stabilizedCap + -0.005</f>
        <v>0</v>
      </c>
      <c r="C8" s="15">
        <f>IFERROR((out_NOI_stabilized*(1+-0.1))/(in_stabilizedCap+-0.005),0)</f>
        <v>0</v>
      </c>
      <c r="D8" s="15">
        <f>IFERROR((out_NOI_stabilized*(1+-0.05))/(in_stabilizedCap+-0.005),0)</f>
        <v>0</v>
      </c>
      <c r="E8" s="15">
        <f>IFERROR((out_NOI_stabilized*(1+0))/(in_stabilizedCap+-0.005),0)</f>
        <v>0</v>
      </c>
      <c r="F8" s="15">
        <f>IFERROR((out_NOI_stabilized*(1+0.05))/(in_stabilizedCap+-0.005),0)</f>
        <v>0</v>
      </c>
      <c r="G8" s="15">
        <f>IFERROR((out_NOI_stabilized*(1+0.1))/(in_stabilizedCap+-0.005),0)</f>
        <v>0</v>
      </c>
    </row>
    <row r="9" spans="2:8">
      <c r="B9" s="20">
        <f>in_stabilizedCap + -0.0025</f>
        <v>0</v>
      </c>
      <c r="C9" s="15">
        <f>IFERROR((out_NOI_stabilized*(1+-0.1))/(in_stabilizedCap+-0.0025),0)</f>
        <v>0</v>
      </c>
      <c r="D9" s="15">
        <f>IFERROR((out_NOI_stabilized*(1+-0.05))/(in_stabilizedCap+-0.0025),0)</f>
        <v>0</v>
      </c>
      <c r="E9" s="15">
        <f>IFERROR((out_NOI_stabilized*(1+0))/(in_stabilizedCap+-0.0025),0)</f>
        <v>0</v>
      </c>
      <c r="F9" s="15">
        <f>IFERROR((out_NOI_stabilized*(1+0.05))/(in_stabilizedCap+-0.0025),0)</f>
        <v>0</v>
      </c>
      <c r="G9" s="15">
        <f>IFERROR((out_NOI_stabilized*(1+0.1))/(in_stabilizedCap+-0.0025),0)</f>
        <v>0</v>
      </c>
    </row>
    <row r="10" spans="2:8">
      <c r="B10" s="20">
        <f>in_stabilizedCap + 0</f>
        <v>0</v>
      </c>
      <c r="C10" s="15">
        <f>IFERROR((out_NOI_stabilized*(1+-0.1))/(in_stabilizedCap+0),0)</f>
        <v>0</v>
      </c>
      <c r="D10" s="15">
        <f>IFERROR((out_NOI_stabilized*(1+-0.05))/(in_stabilizedCap+0),0)</f>
        <v>0</v>
      </c>
      <c r="E10" s="15">
        <f>IFERROR((out_NOI_stabilized*(1+0))/(in_stabilizedCap+0),0)</f>
        <v>0</v>
      </c>
      <c r="F10" s="15">
        <f>IFERROR((out_NOI_stabilized*(1+0.05))/(in_stabilizedCap+0),0)</f>
        <v>0</v>
      </c>
      <c r="G10" s="15">
        <f>IFERROR((out_NOI_stabilized*(1+0.1))/(in_stabilizedCap+0),0)</f>
        <v>0</v>
      </c>
    </row>
    <row r="11" spans="2:8">
      <c r="B11" s="20">
        <f>in_stabilizedCap + 0.0025</f>
        <v>0</v>
      </c>
      <c r="C11" s="15">
        <f>IFERROR((out_NOI_stabilized*(1+-0.1))/(in_stabilizedCap+0.0025),0)</f>
        <v>0</v>
      </c>
      <c r="D11" s="15">
        <f>IFERROR((out_NOI_stabilized*(1+-0.05))/(in_stabilizedCap+0.0025),0)</f>
        <v>0</v>
      </c>
      <c r="E11" s="15">
        <f>IFERROR((out_NOI_stabilized*(1+0))/(in_stabilizedCap+0.0025),0)</f>
        <v>0</v>
      </c>
      <c r="F11" s="15">
        <f>IFERROR((out_NOI_stabilized*(1+0.05))/(in_stabilizedCap+0.0025),0)</f>
        <v>0</v>
      </c>
      <c r="G11" s="15">
        <f>IFERROR((out_NOI_stabilized*(1+0.1))/(in_stabilizedCap+0.0025),0)</f>
        <v>0</v>
      </c>
    </row>
    <row r="12" spans="2:8">
      <c r="B12" s="20">
        <f>in_stabilizedCap + 0.005</f>
        <v>0</v>
      </c>
      <c r="C12" s="15">
        <f>IFERROR((out_NOI_stabilized*(1+-0.1))/(in_stabilizedCap+0.005),0)</f>
        <v>0</v>
      </c>
      <c r="D12" s="15">
        <f>IFERROR((out_NOI_stabilized*(1+-0.05))/(in_stabilizedCap+0.005),0)</f>
        <v>0</v>
      </c>
      <c r="E12" s="15">
        <f>IFERROR((out_NOI_stabilized*(1+0))/(in_stabilizedCap+0.005),0)</f>
        <v>0</v>
      </c>
      <c r="F12" s="15">
        <f>IFERROR((out_NOI_stabilized*(1+0.05))/(in_stabilizedCap+0.005),0)</f>
        <v>0</v>
      </c>
      <c r="G12" s="15">
        <f>IFERROR((out_NOI_stabilized*(1+0.1))/(in_stabilizedCap+0.005),0)</f>
        <v>0</v>
      </c>
    </row>
    <row r="15" spans="2:8">
      <c r="B15" s="9" t="s">
        <v>320</v>
      </c>
      <c r="C15" s="9"/>
      <c r="D15" s="9"/>
      <c r="E15" s="9"/>
      <c r="F15" s="9"/>
      <c r="G15" s="9"/>
      <c r="H15" s="9"/>
    </row>
    <row r="17" spans="2:8">
      <c r="B17" s="7" t="s">
        <v>321</v>
      </c>
      <c r="C17" s="30">
        <v>1.15</v>
      </c>
      <c r="D17" s="30">
        <v>1.2</v>
      </c>
      <c r="E17" s="30">
        <v>1.25</v>
      </c>
      <c r="F17" s="30">
        <v>1.3</v>
      </c>
      <c r="G17" s="30">
        <v>1.35</v>
      </c>
    </row>
    <row r="18" spans="2:8">
      <c r="B18" s="20">
        <f>cmp_allInRate + -0.01</f>
        <v>0</v>
      </c>
      <c r="C18" s="15">
        <f>IFERROR(out_NOI_stabilized/(1.15*(-PMT((cmp_allInRate+-0.01)/12, in_amort, 1)*12)),0)</f>
        <v>0</v>
      </c>
      <c r="D18" s="15">
        <f>IFERROR(out_NOI_stabilized/(1.2*(-PMT((cmp_allInRate+-0.01)/12, in_amort, 1)*12)),0)</f>
        <v>0</v>
      </c>
      <c r="E18" s="15">
        <f>IFERROR(out_NOI_stabilized/(1.25*(-PMT((cmp_allInRate+-0.01)/12, in_amort, 1)*12)),0)</f>
        <v>0</v>
      </c>
      <c r="F18" s="15">
        <f>IFERROR(out_NOI_stabilized/(1.3*(-PMT((cmp_allInRate+-0.01)/12, in_amort, 1)*12)),0)</f>
        <v>0</v>
      </c>
      <c r="G18" s="15">
        <f>IFERROR(out_NOI_stabilized/(1.35*(-PMT((cmp_allInRate+-0.01)/12, in_amort, 1)*12)),0)</f>
        <v>0</v>
      </c>
    </row>
    <row r="19" spans="2:8">
      <c r="B19" s="20">
        <f>cmp_allInRate + -0.005</f>
        <v>0</v>
      </c>
      <c r="C19" s="15">
        <f>IFERROR(out_NOI_stabilized/(1.15*(-PMT((cmp_allInRate+-0.005)/12, in_amort, 1)*12)),0)</f>
        <v>0</v>
      </c>
      <c r="D19" s="15">
        <f>IFERROR(out_NOI_stabilized/(1.2*(-PMT((cmp_allInRate+-0.005)/12, in_amort, 1)*12)),0)</f>
        <v>0</v>
      </c>
      <c r="E19" s="15">
        <f>IFERROR(out_NOI_stabilized/(1.25*(-PMT((cmp_allInRate+-0.005)/12, in_amort, 1)*12)),0)</f>
        <v>0</v>
      </c>
      <c r="F19" s="15">
        <f>IFERROR(out_NOI_stabilized/(1.3*(-PMT((cmp_allInRate+-0.005)/12, in_amort, 1)*12)),0)</f>
        <v>0</v>
      </c>
      <c r="G19" s="15">
        <f>IFERROR(out_NOI_stabilized/(1.35*(-PMT((cmp_allInRate+-0.005)/12, in_amort, 1)*12)),0)</f>
        <v>0</v>
      </c>
    </row>
    <row r="20" spans="2:8">
      <c r="B20" s="20">
        <f>cmp_allInRate + 0</f>
        <v>0</v>
      </c>
      <c r="C20" s="15">
        <f>IFERROR(out_NOI_stabilized/(1.15*(-PMT((cmp_allInRate+0)/12, in_amort, 1)*12)),0)</f>
        <v>0</v>
      </c>
      <c r="D20" s="15">
        <f>IFERROR(out_NOI_stabilized/(1.2*(-PMT((cmp_allInRate+0)/12, in_amort, 1)*12)),0)</f>
        <v>0</v>
      </c>
      <c r="E20" s="15">
        <f>IFERROR(out_NOI_stabilized/(1.25*(-PMT((cmp_allInRate+0)/12, in_amort, 1)*12)),0)</f>
        <v>0</v>
      </c>
      <c r="F20" s="15">
        <f>IFERROR(out_NOI_stabilized/(1.3*(-PMT((cmp_allInRate+0)/12, in_amort, 1)*12)),0)</f>
        <v>0</v>
      </c>
      <c r="G20" s="15">
        <f>IFERROR(out_NOI_stabilized/(1.35*(-PMT((cmp_allInRate+0)/12, in_amort, 1)*12)),0)</f>
        <v>0</v>
      </c>
    </row>
    <row r="21" spans="2:8">
      <c r="B21" s="20">
        <f>cmp_allInRate + 0.005</f>
        <v>0</v>
      </c>
      <c r="C21" s="15">
        <f>IFERROR(out_NOI_stabilized/(1.15*(-PMT((cmp_allInRate+0.005)/12, in_amort, 1)*12)),0)</f>
        <v>0</v>
      </c>
      <c r="D21" s="15">
        <f>IFERROR(out_NOI_stabilized/(1.2*(-PMT((cmp_allInRate+0.005)/12, in_amort, 1)*12)),0)</f>
        <v>0</v>
      </c>
      <c r="E21" s="15">
        <f>IFERROR(out_NOI_stabilized/(1.25*(-PMT((cmp_allInRate+0.005)/12, in_amort, 1)*12)),0)</f>
        <v>0</v>
      </c>
      <c r="F21" s="15">
        <f>IFERROR(out_NOI_stabilized/(1.3*(-PMT((cmp_allInRate+0.005)/12, in_amort, 1)*12)),0)</f>
        <v>0</v>
      </c>
      <c r="G21" s="15">
        <f>IFERROR(out_NOI_stabilized/(1.35*(-PMT((cmp_allInRate+0.005)/12, in_amort, 1)*12)),0)</f>
        <v>0</v>
      </c>
    </row>
    <row r="22" spans="2:8">
      <c r="B22" s="20">
        <f>cmp_allInRate + 0.01</f>
        <v>0</v>
      </c>
      <c r="C22" s="15">
        <f>IFERROR(out_NOI_stabilized/(1.15*(-PMT((cmp_allInRate+0.01)/12, in_amort, 1)*12)),0)</f>
        <v>0</v>
      </c>
      <c r="D22" s="15">
        <f>IFERROR(out_NOI_stabilized/(1.2*(-PMT((cmp_allInRate+0.01)/12, in_amort, 1)*12)),0)</f>
        <v>0</v>
      </c>
      <c r="E22" s="15">
        <f>IFERROR(out_NOI_stabilized/(1.25*(-PMT((cmp_allInRate+0.01)/12, in_amort, 1)*12)),0)</f>
        <v>0</v>
      </c>
      <c r="F22" s="15">
        <f>IFERROR(out_NOI_stabilized/(1.3*(-PMT((cmp_allInRate+0.01)/12, in_amort, 1)*12)),0)</f>
        <v>0</v>
      </c>
      <c r="G22" s="15">
        <f>IFERROR(out_NOI_stabilized/(1.35*(-PMT((cmp_allInRate+0.01)/12, in_amort, 1)*12)),0)</f>
        <v>0</v>
      </c>
    </row>
    <row r="25" spans="2:8">
      <c r="B25" s="9" t="s">
        <v>322</v>
      </c>
      <c r="C25" s="9"/>
      <c r="D25" s="9"/>
      <c r="E25" s="9"/>
      <c r="F25" s="9"/>
      <c r="G25" s="9"/>
      <c r="H25" s="9"/>
    </row>
    <row r="27" spans="2:8">
      <c r="B27" s="7" t="s">
        <v>323</v>
      </c>
      <c r="C27" s="18">
        <v>0.01</v>
      </c>
      <c r="D27" s="18">
        <v>0.02</v>
      </c>
      <c r="E27" s="18">
        <v>0.03</v>
      </c>
      <c r="F27" s="18">
        <v>0.04</v>
      </c>
      <c r="G27" s="18">
        <v>0.05</v>
      </c>
    </row>
    <row r="28" spans="2:8">
      <c r="B28" s="20">
        <f>in_exitCap + -0.005</f>
        <v>0</v>
      </c>
      <c r="C28" s="15">
        <f>IFERROR((out_NOI_stabilized*(1+0.01)^(in_holdPeriod-3))/(in_exitCap+-0.005),0)</f>
        <v>0</v>
      </c>
      <c r="D28" s="15">
        <f>IFERROR((out_NOI_stabilized*(1+0.02)^(in_holdPeriod-3))/(in_exitCap+-0.005),0)</f>
        <v>0</v>
      </c>
      <c r="E28" s="15">
        <f>IFERROR((out_NOI_stabilized*(1+0.03)^(in_holdPeriod-3))/(in_exitCap+-0.005),0)</f>
        <v>0</v>
      </c>
      <c r="F28" s="15">
        <f>IFERROR((out_NOI_stabilized*(1+0.04)^(in_holdPeriod-3))/(in_exitCap+-0.005),0)</f>
        <v>0</v>
      </c>
      <c r="G28" s="15">
        <f>IFERROR((out_NOI_stabilized*(1+0.05)^(in_holdPeriod-3))/(in_exitCap+-0.005),0)</f>
        <v>0</v>
      </c>
    </row>
    <row r="29" spans="2:8">
      <c r="B29" s="20">
        <f>in_exitCap + -0.0025</f>
        <v>0</v>
      </c>
      <c r="C29" s="15">
        <f>IFERROR((out_NOI_stabilized*(1+0.01)^(in_holdPeriod-3))/(in_exitCap+-0.0025),0)</f>
        <v>0</v>
      </c>
      <c r="D29" s="15">
        <f>IFERROR((out_NOI_stabilized*(1+0.02)^(in_holdPeriod-3))/(in_exitCap+-0.0025),0)</f>
        <v>0</v>
      </c>
      <c r="E29" s="15">
        <f>IFERROR((out_NOI_stabilized*(1+0.03)^(in_holdPeriod-3))/(in_exitCap+-0.0025),0)</f>
        <v>0</v>
      </c>
      <c r="F29" s="15">
        <f>IFERROR((out_NOI_stabilized*(1+0.04)^(in_holdPeriod-3))/(in_exitCap+-0.0025),0)</f>
        <v>0</v>
      </c>
      <c r="G29" s="15">
        <f>IFERROR((out_NOI_stabilized*(1+0.05)^(in_holdPeriod-3))/(in_exitCap+-0.0025),0)</f>
        <v>0</v>
      </c>
    </row>
    <row r="30" spans="2:8">
      <c r="B30" s="20">
        <f>in_exitCap + 0</f>
        <v>0</v>
      </c>
      <c r="C30" s="15">
        <f>IFERROR((out_NOI_stabilized*(1+0.01)^(in_holdPeriod-3))/(in_exitCap+0),0)</f>
        <v>0</v>
      </c>
      <c r="D30" s="15">
        <f>IFERROR((out_NOI_stabilized*(1+0.02)^(in_holdPeriod-3))/(in_exitCap+0),0)</f>
        <v>0</v>
      </c>
      <c r="E30" s="15">
        <f>IFERROR((out_NOI_stabilized*(1+0.03)^(in_holdPeriod-3))/(in_exitCap+0),0)</f>
        <v>0</v>
      </c>
      <c r="F30" s="15">
        <f>IFERROR((out_NOI_stabilized*(1+0.04)^(in_holdPeriod-3))/(in_exitCap+0),0)</f>
        <v>0</v>
      </c>
      <c r="G30" s="15">
        <f>IFERROR((out_NOI_stabilized*(1+0.05)^(in_holdPeriod-3))/(in_exitCap+0),0)</f>
        <v>0</v>
      </c>
    </row>
    <row r="31" spans="2:8">
      <c r="B31" s="20">
        <f>in_exitCap + 0.0025</f>
        <v>0</v>
      </c>
      <c r="C31" s="15">
        <f>IFERROR((out_NOI_stabilized*(1+0.01)^(in_holdPeriod-3))/(in_exitCap+0.0025),0)</f>
        <v>0</v>
      </c>
      <c r="D31" s="15">
        <f>IFERROR((out_NOI_stabilized*(1+0.02)^(in_holdPeriod-3))/(in_exitCap+0.0025),0)</f>
        <v>0</v>
      </c>
      <c r="E31" s="15">
        <f>IFERROR((out_NOI_stabilized*(1+0.03)^(in_holdPeriod-3))/(in_exitCap+0.0025),0)</f>
        <v>0</v>
      </c>
      <c r="F31" s="15">
        <f>IFERROR((out_NOI_stabilized*(1+0.04)^(in_holdPeriod-3))/(in_exitCap+0.0025),0)</f>
        <v>0</v>
      </c>
      <c r="G31" s="15">
        <f>IFERROR((out_NOI_stabilized*(1+0.05)^(in_holdPeriod-3))/(in_exitCap+0.0025),0)</f>
        <v>0</v>
      </c>
    </row>
    <row r="32" spans="2:8">
      <c r="B32" s="20">
        <f>in_exitCap + 0.005</f>
        <v>0</v>
      </c>
      <c r="C32" s="15">
        <f>IFERROR((out_NOI_stabilized*(1+0.01)^(in_holdPeriod-3))/(in_exitCap+0.005),0)</f>
        <v>0</v>
      </c>
      <c r="D32" s="15">
        <f>IFERROR((out_NOI_stabilized*(1+0.02)^(in_holdPeriod-3))/(in_exitCap+0.005),0)</f>
        <v>0</v>
      </c>
      <c r="E32" s="15">
        <f>IFERROR((out_NOI_stabilized*(1+0.03)^(in_holdPeriod-3))/(in_exitCap+0.005),0)</f>
        <v>0</v>
      </c>
      <c r="F32" s="15">
        <f>IFERROR((out_NOI_stabilized*(1+0.04)^(in_holdPeriod-3))/(in_exitCap+0.005),0)</f>
        <v>0</v>
      </c>
      <c r="G32" s="15">
        <f>IFERROR((out_NOI_stabilized*(1+0.05)^(in_holdPeriod-3))/(in_exitCap+0.005),0)</f>
        <v>0</v>
      </c>
    </row>
  </sheetData>
  <mergeCells count="5">
    <mergeCell ref="B2:H2"/>
    <mergeCell ref="B3:H3"/>
    <mergeCell ref="B5:H5"/>
    <mergeCell ref="B15:H15"/>
    <mergeCell ref="B25:H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B1A33"/>
  </sheetPr>
  <dimension ref="B2:E26"/>
  <sheetViews>
    <sheetView showGridLines="0" workbookViewId="0"/>
  </sheetViews>
  <sheetFormatPr defaultRowHeight="15"/>
  <cols>
    <col min="1" max="1" width="2.7109375" customWidth="1"/>
    <col min="2" max="2" width="22.7109375" customWidth="1"/>
    <col min="3" max="3" width="18.7109375" customWidth="1"/>
    <col min="4" max="4" width="22.7109375" customWidth="1"/>
    <col min="5" max="5" width="18.7109375" customWidth="1"/>
  </cols>
  <sheetData>
    <row r="2" spans="2:5">
      <c r="B2" s="1" t="s">
        <v>324</v>
      </c>
      <c r="C2" s="1"/>
      <c r="D2" s="1"/>
      <c r="E2" s="1"/>
    </row>
    <row r="3" spans="2:5">
      <c r="B3" s="2" t="s">
        <v>325</v>
      </c>
      <c r="C3" s="2"/>
      <c r="D3" s="2"/>
      <c r="E3" s="2"/>
    </row>
    <row r="5" spans="2:5">
      <c r="B5" s="4" t="s">
        <v>326</v>
      </c>
      <c r="C5" s="8">
        <f>cfg_dealName</f>
        <v>0</v>
      </c>
      <c r="D5" s="4" t="s">
        <v>327</v>
      </c>
      <c r="E5" s="8">
        <f>cfg_modelDate</f>
        <v>0</v>
      </c>
    </row>
    <row r="6" spans="2:5">
      <c r="B6" s="4" t="s">
        <v>46</v>
      </c>
      <c r="C6" s="8">
        <f>cfg_sponsor</f>
        <v>0</v>
      </c>
      <c r="D6" s="4" t="s">
        <v>16</v>
      </c>
      <c r="E6" s="8">
        <f>IF(out_dataChecksPass,"All checks pass","WARNINGS")</f>
        <v>0</v>
      </c>
    </row>
    <row r="8" spans="2:5">
      <c r="B8" s="9" t="s">
        <v>47</v>
      </c>
      <c r="C8" s="9"/>
      <c r="D8" s="9"/>
      <c r="E8" s="9"/>
    </row>
    <row r="9" spans="2:5">
      <c r="B9" s="34" t="s">
        <v>328</v>
      </c>
      <c r="C9" s="35">
        <f>out_TPC</f>
        <v>0</v>
      </c>
      <c r="D9" s="34" t="s">
        <v>329</v>
      </c>
      <c r="E9" s="35">
        <f>in_loanRequest</f>
        <v>0</v>
      </c>
    </row>
    <row r="10" spans="2:5">
      <c r="B10" s="34" t="s">
        <v>330</v>
      </c>
      <c r="C10" s="35">
        <f>out_TPC-in_loanRequest</f>
        <v>0</v>
      </c>
      <c r="D10" s="34" t="s">
        <v>90</v>
      </c>
      <c r="E10" s="35">
        <f>IFERROR(out_TPC/in_unitCount,0)</f>
        <v>0</v>
      </c>
    </row>
    <row r="12" spans="2:5">
      <c r="B12" s="9" t="s">
        <v>331</v>
      </c>
      <c r="C12" s="9"/>
      <c r="D12" s="9"/>
      <c r="E12" s="9"/>
    </row>
    <row r="13" spans="2:5">
      <c r="B13" s="34" t="s">
        <v>72</v>
      </c>
      <c r="C13" s="36">
        <f>out_LTC</f>
        <v>0</v>
      </c>
      <c r="D13" s="34" t="s">
        <v>274</v>
      </c>
      <c r="E13" s="36">
        <f>out_LTV_stab</f>
        <v>0</v>
      </c>
    </row>
    <row r="14" spans="2:5">
      <c r="B14" s="34" t="s">
        <v>275</v>
      </c>
      <c r="C14" s="36">
        <f>out_debtYield</f>
        <v>0</v>
      </c>
      <c r="D14" s="34" t="s">
        <v>75</v>
      </c>
      <c r="E14" s="37">
        <f>out_DSCR</f>
        <v>0</v>
      </c>
    </row>
    <row r="15" spans="2:5">
      <c r="B15" s="34" t="s">
        <v>332</v>
      </c>
      <c r="C15" s="36">
        <f>out_debtYield_exit</f>
        <v>0</v>
      </c>
      <c r="D15" s="34" t="s">
        <v>333</v>
      </c>
      <c r="E15" s="36">
        <f>out_YOC</f>
        <v>0</v>
      </c>
    </row>
    <row r="17" spans="2:5">
      <c r="B17" s="9" t="s">
        <v>334</v>
      </c>
      <c r="C17" s="9"/>
      <c r="D17" s="9"/>
      <c r="E17" s="9"/>
    </row>
    <row r="18" spans="2:5">
      <c r="B18" s="34" t="s">
        <v>335</v>
      </c>
      <c r="C18" s="35">
        <f>out_NOI_stabilized</f>
        <v>0</v>
      </c>
      <c r="D18" s="34" t="s">
        <v>336</v>
      </c>
      <c r="E18" s="35">
        <f>IFERROR(out_NOI_stabilized/in_unitCount,0)</f>
        <v>0</v>
      </c>
    </row>
    <row r="19" spans="2:5">
      <c r="B19" s="34" t="s">
        <v>337</v>
      </c>
      <c r="C19" s="35">
        <f>out_EGI_stabilized</f>
        <v>0</v>
      </c>
      <c r="D19" s="34" t="s">
        <v>338</v>
      </c>
      <c r="E19" s="35">
        <f>out_opex_stabilized</f>
        <v>0</v>
      </c>
    </row>
    <row r="21" spans="2:5">
      <c r="B21" s="9" t="s">
        <v>339</v>
      </c>
      <c r="C21" s="9"/>
      <c r="D21" s="9"/>
      <c r="E21" s="9"/>
    </row>
    <row r="22" spans="2:5">
      <c r="B22" s="34" t="s">
        <v>340</v>
      </c>
      <c r="C22" s="35">
        <f>out_salePrice</f>
        <v>0</v>
      </c>
      <c r="D22" s="34" t="s">
        <v>341</v>
      </c>
      <c r="E22" s="35">
        <f>out_refiMaxLoan</f>
        <v>0</v>
      </c>
    </row>
    <row r="23" spans="2:5">
      <c r="B23" s="34" t="s">
        <v>305</v>
      </c>
      <c r="C23" s="35">
        <f>out_netToEquity</f>
        <v>0</v>
      </c>
      <c r="D23" s="34" t="s">
        <v>342</v>
      </c>
      <c r="E23" s="35">
        <f>out_value_stab</f>
        <v>0</v>
      </c>
    </row>
    <row r="25" spans="2:5">
      <c r="B25" s="9" t="s">
        <v>81</v>
      </c>
      <c r="C25" s="9"/>
      <c r="D25" s="9"/>
      <c r="E25" s="9"/>
    </row>
    <row r="26" spans="2:5">
      <c r="B26" s="7" t="s">
        <v>82</v>
      </c>
      <c r="C26" s="11">
        <f>in_recommendation</f>
        <v>0</v>
      </c>
      <c r="D26" s="11"/>
      <c r="E26" s="11"/>
    </row>
  </sheetData>
  <mergeCells count="8">
    <mergeCell ref="B2:E2"/>
    <mergeCell ref="B3:E3"/>
    <mergeCell ref="B8:E8"/>
    <mergeCell ref="B12:E12"/>
    <mergeCell ref="B17:E17"/>
    <mergeCell ref="B21:E21"/>
    <mergeCell ref="B25:E25"/>
    <mergeCell ref="C26:E26"/>
  </mergeCells>
  <pageMargins left="0.5" right="0.5" top="0.5" bottom="0.5" header="0.3" footer="0.3"/>
  <pageSetup paperSize="1" scale="85" orientation="portrait"/>
  <headerFooter>
    <oddHeader>&amp;L&amp;"Cambria,Bold"Valore Registry — UW Workbook&amp;R&amp;[Deal Name]</oddHeader>
    <oddFooter>&amp;LMetrics Dashboard&amp;CConfidential — internal use only&amp;RPage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B1A33"/>
  </sheetPr>
  <dimension ref="B2:D49"/>
  <sheetViews>
    <sheetView showGridLines="0" workbookViewId="0"/>
  </sheetViews>
  <sheetFormatPr defaultRowHeight="15"/>
  <cols>
    <col min="1" max="1" width="2.7109375" customWidth="1"/>
    <col min="2" max="2" width="28.7109375" customWidth="1"/>
    <col min="3" max="3" width="36.7109375" customWidth="1"/>
    <col min="4" max="4" width="28.7109375" customWidth="1"/>
  </cols>
  <sheetData>
    <row r="2" spans="2:4">
      <c r="B2" s="1" t="s">
        <v>343</v>
      </c>
      <c r="C2" s="1"/>
      <c r="D2" s="1"/>
    </row>
    <row r="3" spans="2:4">
      <c r="B3" s="2" t="s">
        <v>344</v>
      </c>
      <c r="C3" s="2"/>
      <c r="D3" s="2"/>
    </row>
    <row r="5" spans="2:4">
      <c r="B5" s="9" t="s">
        <v>345</v>
      </c>
      <c r="C5" s="9"/>
      <c r="D5" s="9"/>
    </row>
    <row r="6" spans="2:4">
      <c r="B6" s="4" t="s">
        <v>346</v>
      </c>
      <c r="C6" s="8">
        <f>cfg_dealName</f>
        <v>0</v>
      </c>
    </row>
    <row r="7" spans="2:4">
      <c r="B7" s="4" t="s">
        <v>347</v>
      </c>
      <c r="C7" s="8">
        <f>cfg_preparedBy</f>
        <v>0</v>
      </c>
    </row>
    <row r="8" spans="2:4">
      <c r="B8" s="4" t="s">
        <v>348</v>
      </c>
      <c r="C8" s="8">
        <f>cfg_modelDate</f>
        <v>0</v>
      </c>
    </row>
    <row r="9" spans="2:4">
      <c r="B9" s="4" t="s">
        <v>349</v>
      </c>
      <c r="C9" s="8">
        <f>in_recommendation</f>
        <v>0</v>
      </c>
    </row>
    <row r="11" spans="2:4">
      <c r="B11" s="9" t="s">
        <v>350</v>
      </c>
      <c r="C11" s="9"/>
      <c r="D11" s="9"/>
    </row>
    <row r="12" spans="2:4">
      <c r="B12" s="6"/>
      <c r="C12" s="6"/>
      <c r="D12" s="6"/>
    </row>
    <row r="13" spans="2:4">
      <c r="B13" s="6"/>
      <c r="C13" s="6"/>
      <c r="D13" s="6"/>
    </row>
    <row r="14" spans="2:4">
      <c r="B14" s="6"/>
      <c r="C14" s="6"/>
      <c r="D14" s="6"/>
    </row>
    <row r="15" spans="2:4">
      <c r="B15" s="6"/>
      <c r="C15" s="6"/>
      <c r="D15" s="6"/>
    </row>
    <row r="17" spans="2:4">
      <c r="B17" s="9" t="s">
        <v>133</v>
      </c>
      <c r="C17" s="9"/>
      <c r="D17" s="9"/>
    </row>
    <row r="18" spans="2:4">
      <c r="B18" s="7" t="s">
        <v>351</v>
      </c>
      <c r="C18" s="23" t="s">
        <v>352</v>
      </c>
      <c r="D18" s="23" t="s">
        <v>258</v>
      </c>
    </row>
    <row r="19" spans="2:4">
      <c r="B19" s="4" t="s">
        <v>72</v>
      </c>
      <c r="C19" s="20">
        <f>out_LTC</f>
        <v>0</v>
      </c>
      <c r="D19" s="20">
        <f>in_maxLTC</f>
        <v>0</v>
      </c>
    </row>
    <row r="20" spans="2:4">
      <c r="B20" s="4" t="s">
        <v>274</v>
      </c>
      <c r="C20" s="20">
        <f>out_LTV_stab</f>
        <v>0</v>
      </c>
      <c r="D20" s="20">
        <f>in_maxLTV</f>
        <v>0</v>
      </c>
    </row>
    <row r="21" spans="2:4">
      <c r="B21" s="4" t="s">
        <v>75</v>
      </c>
      <c r="C21" s="32">
        <f>out_DSCR</f>
        <v>0</v>
      </c>
      <c r="D21" s="32">
        <f>in_minDSCR</f>
        <v>0</v>
      </c>
    </row>
    <row r="22" spans="2:4">
      <c r="B22" s="4" t="s">
        <v>74</v>
      </c>
      <c r="C22" s="20">
        <f>out_debtYield</f>
        <v>0</v>
      </c>
      <c r="D22" s="20">
        <f>in_minDY</f>
        <v>0</v>
      </c>
    </row>
    <row r="23" spans="2:4">
      <c r="B23" s="4" t="s">
        <v>332</v>
      </c>
      <c r="C23" s="20">
        <f>out_debtYield_exit</f>
        <v>0</v>
      </c>
      <c r="D23" s="20">
        <f>in_minDY</f>
        <v>0</v>
      </c>
    </row>
    <row r="26" spans="2:4">
      <c r="B26" s="9" t="s">
        <v>353</v>
      </c>
      <c r="C26" s="9"/>
      <c r="D26" s="9"/>
    </row>
    <row r="27" spans="2:4">
      <c r="B27" s="4" t="s">
        <v>354</v>
      </c>
      <c r="C27" s="15">
        <f>out_TPC</f>
        <v>0</v>
      </c>
    </row>
    <row r="28" spans="2:4">
      <c r="B28" s="4" t="s">
        <v>109</v>
      </c>
      <c r="C28" s="15">
        <f>in_srcSenior</f>
        <v>0</v>
      </c>
    </row>
    <row r="29" spans="2:4">
      <c r="B29" s="4" t="s">
        <v>355</v>
      </c>
      <c r="C29" s="15">
        <f>in_srcMezz+in_srcPref</f>
        <v>0</v>
      </c>
    </row>
    <row r="30" spans="2:4">
      <c r="B30" s="4" t="s">
        <v>356</v>
      </c>
      <c r="C30" s="15">
        <f>in_srcGP+in_srcLP</f>
        <v>0</v>
      </c>
    </row>
    <row r="31" spans="2:4">
      <c r="B31" s="4" t="s">
        <v>357</v>
      </c>
      <c r="C31" s="15">
        <f>in_srcPACE+in_srcGrants+in_srcOther</f>
        <v>0</v>
      </c>
    </row>
    <row r="33" spans="2:4">
      <c r="B33" s="9" t="s">
        <v>358</v>
      </c>
      <c r="C33" s="9"/>
      <c r="D33" s="9"/>
    </row>
    <row r="34" spans="2:4">
      <c r="B34" s="6"/>
      <c r="C34" s="6"/>
      <c r="D34" s="6"/>
    </row>
    <row r="35" spans="2:4">
      <c r="B35" s="6"/>
      <c r="C35" s="6"/>
      <c r="D35" s="6"/>
    </row>
    <row r="36" spans="2:4">
      <c r="B36" s="6"/>
      <c r="C36" s="6"/>
      <c r="D36" s="6"/>
    </row>
    <row r="37" spans="2:4">
      <c r="B37" s="6"/>
      <c r="C37" s="6"/>
      <c r="D37" s="6"/>
    </row>
    <row r="39" spans="2:4">
      <c r="B39" s="9" t="s">
        <v>359</v>
      </c>
      <c r="C39" s="9"/>
      <c r="D39" s="9"/>
    </row>
    <row r="40" spans="2:4">
      <c r="B40" s="6"/>
      <c r="C40" s="6"/>
      <c r="D40" s="6"/>
    </row>
    <row r="41" spans="2:4">
      <c r="B41" s="6"/>
      <c r="C41" s="6"/>
      <c r="D41" s="6"/>
    </row>
    <row r="42" spans="2:4">
      <c r="B42" s="6"/>
      <c r="C42" s="6"/>
      <c r="D42" s="6"/>
    </row>
    <row r="43" spans="2:4">
      <c r="B43" s="6"/>
      <c r="C43" s="6"/>
      <c r="D43" s="6"/>
    </row>
    <row r="45" spans="2:4">
      <c r="B45" s="9" t="s">
        <v>81</v>
      </c>
      <c r="C45" s="9"/>
      <c r="D45" s="9"/>
    </row>
    <row r="46" spans="2:4">
      <c r="B46" s="6"/>
      <c r="C46" s="6"/>
      <c r="D46" s="6"/>
    </row>
    <row r="47" spans="2:4">
      <c r="B47" s="6"/>
      <c r="C47" s="6"/>
      <c r="D47" s="6"/>
    </row>
    <row r="48" spans="2:4">
      <c r="B48" s="6"/>
      <c r="C48" s="6"/>
      <c r="D48" s="6"/>
    </row>
    <row r="49" spans="2:4">
      <c r="B49" s="6"/>
      <c r="C49" s="6"/>
      <c r="D49" s="6"/>
    </row>
  </sheetData>
  <mergeCells count="13">
    <mergeCell ref="B2:D2"/>
    <mergeCell ref="B3:D3"/>
    <mergeCell ref="B5:D5"/>
    <mergeCell ref="B11:D11"/>
    <mergeCell ref="B12:D15"/>
    <mergeCell ref="B17:D17"/>
    <mergeCell ref="B26:D26"/>
    <mergeCell ref="B33:D33"/>
    <mergeCell ref="B34:D37"/>
    <mergeCell ref="B39:D39"/>
    <mergeCell ref="B40:D43"/>
    <mergeCell ref="B45:D45"/>
    <mergeCell ref="B46:D49"/>
  </mergeCells>
  <pageMargins left="0.75" right="0.75" top="0.75" bottom="0.75" header="0.3" footer="0.3"/>
  <pageSetup paperSize="1" orientation="portrait"/>
  <headerFooter>
    <oddHeader>&amp;L&amp;"Cambria,Bold"Valore Registry — UW Workbook&amp;R&amp;[Deal Name]</oddHeader>
    <oddFooter>&amp;LIC Output&amp;CConfidential — internal use only&amp;RPage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D8D2C4"/>
  </sheetPr>
  <dimension ref="B2:E21"/>
  <sheetViews>
    <sheetView showGridLines="0" workbookViewId="0"/>
  </sheetViews>
  <sheetFormatPr defaultRowHeight="15"/>
  <cols>
    <col min="1" max="1" width="2.7109375" customWidth="1"/>
    <col min="2" max="2" width="42.7109375" customWidth="1"/>
    <col min="3" max="3" width="14.7109375" customWidth="1"/>
    <col min="4" max="4" width="16.7109375" customWidth="1"/>
    <col min="5" max="5" width="14.7109375" customWidth="1"/>
  </cols>
  <sheetData>
    <row r="2" spans="2:5">
      <c r="B2" s="1" t="s">
        <v>360</v>
      </c>
      <c r="C2" s="1"/>
      <c r="D2" s="1"/>
      <c r="E2" s="1"/>
    </row>
    <row r="3" spans="2:5">
      <c r="B3" s="2" t="s">
        <v>361</v>
      </c>
      <c r="C3" s="2"/>
      <c r="D3" s="2"/>
      <c r="E3" s="2"/>
    </row>
    <row r="5" spans="2:5">
      <c r="B5" s="7" t="s">
        <v>362</v>
      </c>
      <c r="C5" s="23" t="s">
        <v>363</v>
      </c>
      <c r="D5" s="23" t="s">
        <v>16</v>
      </c>
      <c r="E5" s="23" t="s">
        <v>26</v>
      </c>
    </row>
    <row r="6" spans="2:5">
      <c r="B6" s="4" t="s">
        <v>364</v>
      </c>
      <c r="C6" s="38" t="s">
        <v>365</v>
      </c>
      <c r="D6" s="39">
        <f>IF(ABS(cmp_totalSources - out_TPC) &lt; 1,"PASS","FAIL")</f>
        <v>0</v>
      </c>
      <c r="E6" s="40">
        <f>ABS(cmp_totalSources - out_TPC) &lt; 1</f>
        <v>0</v>
      </c>
    </row>
    <row r="7" spans="2:5">
      <c r="B7" s="4" t="s">
        <v>366</v>
      </c>
      <c r="C7" s="38" t="s">
        <v>365</v>
      </c>
      <c r="D7" s="39">
        <f>IF(LEN(cfg_dealName) &gt; 0,"PASS","FAIL")</f>
        <v>0</v>
      </c>
      <c r="E7" s="40">
        <f>LEN(cfg_dealName) &gt; 0</f>
        <v>0</v>
      </c>
    </row>
    <row r="8" spans="2:5">
      <c r="B8" s="4" t="s">
        <v>367</v>
      </c>
      <c r="C8" s="38" t="s">
        <v>365</v>
      </c>
      <c r="D8" s="39">
        <f>IF(LEN(cfg_assetType) &gt; 0,"PASS","FAIL")</f>
        <v>0</v>
      </c>
      <c r="E8" s="40">
        <f>LEN(cfg_assetType) &gt; 0</f>
        <v>0</v>
      </c>
    </row>
    <row r="9" spans="2:5">
      <c r="B9" s="4" t="s">
        <v>368</v>
      </c>
      <c r="C9" s="38" t="s">
        <v>365</v>
      </c>
      <c r="D9" s="39">
        <f>IF(out_NOI_stabilized &gt; 0,"PASS","FAIL")</f>
        <v>0</v>
      </c>
      <c r="E9" s="40">
        <f>out_NOI_stabilized &gt; 0</f>
        <v>0</v>
      </c>
    </row>
    <row r="10" spans="2:5">
      <c r="B10" s="4" t="s">
        <v>369</v>
      </c>
      <c r="C10" s="38" t="s">
        <v>370</v>
      </c>
      <c r="D10" s="39">
        <f>IF(out_LTV_stab &lt;= in_maxLTV,"PASS","FAIL")</f>
        <v>0</v>
      </c>
      <c r="E10" s="40">
        <f>out_LTV_stab &lt;= in_maxLTV</f>
        <v>0</v>
      </c>
    </row>
    <row r="11" spans="2:5">
      <c r="B11" s="4" t="s">
        <v>371</v>
      </c>
      <c r="C11" s="38" t="s">
        <v>370</v>
      </c>
      <c r="D11" s="39">
        <f>IF(out_debtYield &gt;= in_minDY,"PASS","FAIL")</f>
        <v>0</v>
      </c>
      <c r="E11" s="40">
        <f>out_debtYield &gt;= in_minDY</f>
        <v>0</v>
      </c>
    </row>
    <row r="12" spans="2:5">
      <c r="B12" s="4" t="s">
        <v>372</v>
      </c>
      <c r="C12" s="38" t="s">
        <v>370</v>
      </c>
      <c r="D12" s="39">
        <f>IF(out_DSCR &gt;= in_minDSCR,"PASS","FAIL")</f>
        <v>0</v>
      </c>
      <c r="E12" s="40">
        <f>out_DSCR &gt;= in_minDSCR</f>
        <v>0</v>
      </c>
    </row>
    <row r="13" spans="2:5">
      <c r="B13" s="4" t="s">
        <v>373</v>
      </c>
      <c r="C13" s="38" t="s">
        <v>365</v>
      </c>
      <c r="D13" s="39">
        <f>IF(in_stab_rentPerUnit &gt; 0,"PASS","FAIL")</f>
        <v>0</v>
      </c>
      <c r="E13" s="40">
        <f>in_stab_rentPerUnit &gt; 0</f>
        <v>0</v>
      </c>
    </row>
    <row r="14" spans="2:5">
      <c r="B14" s="4" t="s">
        <v>374</v>
      </c>
      <c r="C14" s="38" t="s">
        <v>370</v>
      </c>
      <c r="D14" s="39">
        <f>IF(AND(in_stab_vacancy &gt;= 0.02, in_stab_vacancy &lt;= 0.20),"PASS","FAIL")</f>
        <v>0</v>
      </c>
      <c r="E14" s="40">
        <f>AND(in_stab_vacancy &gt;= 0.02, in_stab_vacancy &lt;= 0.20)</f>
        <v>0</v>
      </c>
    </row>
    <row r="15" spans="2:5">
      <c r="B15" s="4" t="s">
        <v>375</v>
      </c>
      <c r="C15" s="38" t="s">
        <v>370</v>
      </c>
      <c r="D15" s="39">
        <f>IF(AND(in_stabilizedCap &gt;= 0.03, in_stabilizedCap &lt;= 0.12),"PASS","FAIL")</f>
        <v>0</v>
      </c>
      <c r="E15" s="40">
        <f>AND(in_stabilizedCap &gt;= 0.03, in_stabilizedCap &lt;= 0.12)</f>
        <v>0</v>
      </c>
    </row>
    <row r="16" spans="2:5">
      <c r="B16" s="4" t="s">
        <v>376</v>
      </c>
      <c r="C16" s="38" t="s">
        <v>370</v>
      </c>
      <c r="D16" s="39">
        <f>IF(in_exitCap &gt;= in_stabilizedCap,"PASS","FAIL")</f>
        <v>0</v>
      </c>
      <c r="E16" s="40">
        <f>in_exitCap &gt;= in_stabilizedCap</f>
        <v>0</v>
      </c>
    </row>
    <row r="17" spans="2:5">
      <c r="B17" s="4" t="s">
        <v>377</v>
      </c>
      <c r="C17" s="38" t="s">
        <v>365</v>
      </c>
      <c r="D17" s="39">
        <f>IF(out_loanCushion &gt;= 0,"PASS","FAIL")</f>
        <v>0</v>
      </c>
      <c r="E17" s="40">
        <f>out_loanCushion &gt;= 0</f>
        <v>0</v>
      </c>
    </row>
    <row r="18" spans="2:5">
      <c r="B18" s="4" t="s">
        <v>378</v>
      </c>
      <c r="C18" s="38" t="s">
        <v>370</v>
      </c>
      <c r="D18" s="39">
        <f>IF(AND(in_spread &gt;= 0, in_spread &lt;= 1500),"PASS","FAIL")</f>
        <v>0</v>
      </c>
      <c r="E18" s="40">
        <f>AND(in_spread &gt;= 0, in_spread &lt;= 1500)</f>
        <v>0</v>
      </c>
    </row>
    <row r="19" spans="2:5">
      <c r="B19" s="4" t="s">
        <v>379</v>
      </c>
      <c r="C19" s="38" t="s">
        <v>370</v>
      </c>
      <c r="D19" s="39">
        <f>IF(AND(in_term &gt;= 12, in_term &lt;= 360),"PASS","FAIL")</f>
        <v>0</v>
      </c>
      <c r="E19" s="40">
        <f>AND(in_term &gt;= 12, in_term &lt;= 360)</f>
        <v>0</v>
      </c>
    </row>
    <row r="21" spans="2:5">
      <c r="B21" s="7" t="s">
        <v>380</v>
      </c>
      <c r="D21" s="39">
        <f>COUNTIF(D6:D19,"FAIL")=0</f>
        <v>0</v>
      </c>
    </row>
  </sheetData>
  <mergeCells count="2">
    <mergeCell ref="B2:E2"/>
    <mergeCell ref="B3:E3"/>
  </mergeCells>
  <conditionalFormatting sqref="D10">
    <cfRule type="cellIs" dxfId="1" priority="5" operator="equal">
      <formula>"FAIL"</formula>
    </cfRule>
  </conditionalFormatting>
  <conditionalFormatting sqref="D11">
    <cfRule type="cellIs" dxfId="1" priority="6" operator="equal">
      <formula>"FAIL"</formula>
    </cfRule>
  </conditionalFormatting>
  <conditionalFormatting sqref="D12">
    <cfRule type="cellIs" dxfId="1" priority="7" operator="equal">
      <formula>"FAIL"</formula>
    </cfRule>
  </conditionalFormatting>
  <conditionalFormatting sqref="D13">
    <cfRule type="cellIs" dxfId="1" priority="8" operator="equal">
      <formula>"FAIL"</formula>
    </cfRule>
  </conditionalFormatting>
  <conditionalFormatting sqref="D14">
    <cfRule type="cellIs" dxfId="1" priority="9" operator="equal">
      <formula>"FAIL"</formula>
    </cfRule>
  </conditionalFormatting>
  <conditionalFormatting sqref="D15">
    <cfRule type="cellIs" dxfId="1" priority="10" operator="equal">
      <formula>"FAIL"</formula>
    </cfRule>
  </conditionalFormatting>
  <conditionalFormatting sqref="D16">
    <cfRule type="cellIs" dxfId="1" priority="11" operator="equal">
      <formula>"FAIL"</formula>
    </cfRule>
  </conditionalFormatting>
  <conditionalFormatting sqref="D17">
    <cfRule type="cellIs" dxfId="1" priority="12" operator="equal">
      <formula>"FAIL"</formula>
    </cfRule>
  </conditionalFormatting>
  <conditionalFormatting sqref="D18">
    <cfRule type="cellIs" dxfId="1" priority="13" operator="equal">
      <formula>"FAIL"</formula>
    </cfRule>
  </conditionalFormatting>
  <conditionalFormatting sqref="D19">
    <cfRule type="cellIs" dxfId="1" priority="14" operator="equal">
      <formula>"FAIL"</formula>
    </cfRule>
  </conditionalFormatting>
  <conditionalFormatting sqref="D6">
    <cfRule type="cellIs" dxfId="1" priority="1" operator="equal">
      <formula>"FAIL"</formula>
    </cfRule>
  </conditionalFormatting>
  <conditionalFormatting sqref="D7">
    <cfRule type="cellIs" dxfId="1" priority="2" operator="equal">
      <formula>"FAIL"</formula>
    </cfRule>
  </conditionalFormatting>
  <conditionalFormatting sqref="D8">
    <cfRule type="cellIs" dxfId="1" priority="3" operator="equal">
      <formula>"FAIL"</formula>
    </cfRule>
  </conditionalFormatting>
  <conditionalFormatting sqref="D9">
    <cfRule type="cellIs" dxfId="1" priority="4" operator="equal">
      <formula>"FAIL"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B89A5B"/>
  </sheetPr>
  <dimension ref="B2:E58"/>
  <sheetViews>
    <sheetView showGridLines="0" workbookViewId="0"/>
  </sheetViews>
  <sheetFormatPr defaultRowHeight="15"/>
  <cols>
    <col min="1" max="1" width="2.7109375" customWidth="1"/>
    <col min="2" max="2" width="26.7109375" customWidth="1"/>
    <col min="3" max="3" width="22.7109375" customWidth="1"/>
    <col min="4" max="4" width="26.7109375" customWidth="1"/>
    <col min="5" max="5" width="22.7109375" customWidth="1"/>
  </cols>
  <sheetData>
    <row r="2" spans="2:5">
      <c r="B2" s="1" t="s">
        <v>42</v>
      </c>
      <c r="C2" s="1"/>
      <c r="D2" s="1"/>
      <c r="E2" s="1"/>
    </row>
    <row r="3" spans="2:5">
      <c r="B3" s="2" t="s">
        <v>43</v>
      </c>
      <c r="C3" s="2"/>
      <c r="D3" s="2"/>
      <c r="E3" s="2"/>
    </row>
    <row r="5" spans="2:5">
      <c r="B5" s="9" t="s">
        <v>44</v>
      </c>
      <c r="C5" s="9"/>
      <c r="D5" s="9"/>
      <c r="E5" s="9"/>
    </row>
    <row r="6" spans="2:5">
      <c r="B6" s="4" t="s">
        <v>2</v>
      </c>
      <c r="C6" s="8">
        <f>cfg_dealName</f>
        <v>0</v>
      </c>
    </row>
    <row r="7" spans="2:5">
      <c r="B7" s="4" t="s">
        <v>45</v>
      </c>
      <c r="C7" s="8">
        <f>cfg_address</f>
        <v>0</v>
      </c>
    </row>
    <row r="8" spans="2:5">
      <c r="B8" s="4" t="s">
        <v>6</v>
      </c>
      <c r="C8" s="8">
        <f>cfg_assetType</f>
        <v>0</v>
      </c>
    </row>
    <row r="9" spans="2:5">
      <c r="B9" s="4" t="s">
        <v>8</v>
      </c>
      <c r="C9" s="8">
        <f>cfg_dealType</f>
        <v>0</v>
      </c>
    </row>
    <row r="10" spans="2:5">
      <c r="B10" s="4" t="s">
        <v>46</v>
      </c>
      <c r="C10" s="8">
        <f>cfg_sponsor</f>
        <v>0</v>
      </c>
    </row>
    <row r="12" spans="2:5">
      <c r="B12" s="9" t="s">
        <v>47</v>
      </c>
      <c r="C12" s="9"/>
      <c r="D12" s="9"/>
      <c r="E12" s="9"/>
    </row>
    <row r="13" spans="2:5">
      <c r="B13" s="4" t="s">
        <v>48</v>
      </c>
      <c r="C13" s="14">
        <v>240</v>
      </c>
    </row>
    <row r="14" spans="2:5">
      <c r="B14" s="4" t="s">
        <v>49</v>
      </c>
      <c r="C14" s="14">
        <v>248400</v>
      </c>
    </row>
    <row r="15" spans="2:5">
      <c r="B15" s="4" t="s">
        <v>50</v>
      </c>
      <c r="C15" s="14">
        <v>9.199999999999999</v>
      </c>
    </row>
    <row r="16" spans="2:5">
      <c r="B16" s="4" t="s">
        <v>51</v>
      </c>
      <c r="C16" s="14">
        <v>2027</v>
      </c>
    </row>
    <row r="18" spans="2:5">
      <c r="B18" s="9" t="s">
        <v>52</v>
      </c>
      <c r="C18" s="9"/>
      <c r="D18" s="9"/>
      <c r="E18" s="9"/>
    </row>
    <row r="19" spans="2:5">
      <c r="B19" s="4" t="s">
        <v>53</v>
      </c>
      <c r="C19" s="15">
        <f>in_usePurchase</f>
        <v>0</v>
      </c>
    </row>
    <row r="20" spans="2:5">
      <c r="B20" s="7" t="s">
        <v>54</v>
      </c>
      <c r="C20" s="16">
        <f>out_TPC</f>
        <v>0</v>
      </c>
    </row>
    <row r="21" spans="2:5">
      <c r="B21" s="4" t="s">
        <v>55</v>
      </c>
      <c r="C21" s="15">
        <f>IFERROR(out_TPC/in_unitCount, 0)</f>
        <v>0</v>
      </c>
    </row>
    <row r="22" spans="2:5">
      <c r="B22" s="4" t="s">
        <v>56</v>
      </c>
      <c r="C22" s="15">
        <f>IFERROR(out_TPC/in_buildingSF, 0)</f>
        <v>0</v>
      </c>
    </row>
    <row r="23" spans="2:5">
      <c r="B23" s="4" t="s">
        <v>57</v>
      </c>
      <c r="C23" s="15">
        <f>in_loanRequest</f>
        <v>0</v>
      </c>
    </row>
    <row r="24" spans="2:5">
      <c r="B24" s="7" t="s">
        <v>58</v>
      </c>
      <c r="C24" s="16">
        <f>out_TPC-in_loanRequest</f>
        <v>0</v>
      </c>
    </row>
    <row r="26" spans="2:5">
      <c r="B26" s="9" t="s">
        <v>59</v>
      </c>
      <c r="C26" s="9"/>
      <c r="D26" s="9"/>
      <c r="E26" s="9"/>
    </row>
    <row r="27" spans="2:5">
      <c r="B27" s="4" t="s">
        <v>60</v>
      </c>
      <c r="C27" s="6" t="s">
        <v>61</v>
      </c>
    </row>
    <row r="28" spans="2:5">
      <c r="B28" s="4" t="s">
        <v>62</v>
      </c>
      <c r="C28" s="17">
        <v>60</v>
      </c>
    </row>
    <row r="29" spans="2:5">
      <c r="B29" s="4" t="s">
        <v>63</v>
      </c>
      <c r="C29" s="17">
        <v>36</v>
      </c>
    </row>
    <row r="30" spans="2:5">
      <c r="B30" s="4" t="s">
        <v>64</v>
      </c>
      <c r="C30" s="17">
        <v>360</v>
      </c>
    </row>
    <row r="31" spans="2:5">
      <c r="B31" s="4" t="s">
        <v>65</v>
      </c>
      <c r="C31" s="18">
        <v>0.05</v>
      </c>
    </row>
    <row r="32" spans="2:5">
      <c r="B32" s="4" t="s">
        <v>66</v>
      </c>
      <c r="C32" s="19">
        <v>350</v>
      </c>
    </row>
    <row r="33" spans="2:5">
      <c r="B33" s="4" t="s">
        <v>67</v>
      </c>
      <c r="C33" s="18">
        <v>0.08</v>
      </c>
    </row>
    <row r="34" spans="2:5">
      <c r="B34" s="4" t="s">
        <v>68</v>
      </c>
      <c r="C34" s="18">
        <v>0.01</v>
      </c>
    </row>
    <row r="35" spans="2:5">
      <c r="B35" s="4" t="s">
        <v>69</v>
      </c>
      <c r="C35" s="18">
        <v>0.005</v>
      </c>
    </row>
    <row r="36" spans="2:5">
      <c r="B36" s="7" t="s">
        <v>70</v>
      </c>
      <c r="C36" s="20">
        <f>MAX(in_indexRate + in_spread/10000, in_rateFloor)</f>
        <v>0</v>
      </c>
    </row>
    <row r="38" spans="2:5">
      <c r="B38" s="9" t="s">
        <v>71</v>
      </c>
      <c r="C38" s="9"/>
      <c r="D38" s="9"/>
      <c r="E38" s="9"/>
    </row>
    <row r="39" spans="2:5">
      <c r="B39" s="7" t="s">
        <v>72</v>
      </c>
      <c r="C39" s="21">
        <f>out_LTC</f>
        <v>0</v>
      </c>
    </row>
    <row r="40" spans="2:5">
      <c r="B40" s="7" t="s">
        <v>73</v>
      </c>
      <c r="C40" s="21">
        <f>out_LTV_stab</f>
        <v>0</v>
      </c>
    </row>
    <row r="41" spans="2:5">
      <c r="B41" s="7" t="s">
        <v>74</v>
      </c>
      <c r="C41" s="21">
        <f>out_debtYield</f>
        <v>0</v>
      </c>
    </row>
    <row r="42" spans="2:5">
      <c r="B42" s="7" t="s">
        <v>75</v>
      </c>
      <c r="C42" s="22">
        <f>out_DSCR</f>
        <v>0</v>
      </c>
    </row>
    <row r="43" spans="2:5">
      <c r="B43" s="7" t="s">
        <v>76</v>
      </c>
      <c r="C43" s="21">
        <f>out_debtYield_exit</f>
        <v>0</v>
      </c>
    </row>
    <row r="44" spans="2:5">
      <c r="B44" s="7" t="s">
        <v>77</v>
      </c>
      <c r="C44" s="21">
        <f>out_YOC</f>
        <v>0</v>
      </c>
    </row>
    <row r="45" spans="2:5">
      <c r="B45" s="7" t="s">
        <v>78</v>
      </c>
      <c r="C45" s="16">
        <f>out_NOI_stabilized</f>
        <v>0</v>
      </c>
    </row>
    <row r="46" spans="2:5">
      <c r="B46" s="7" t="s">
        <v>79</v>
      </c>
      <c r="C46" s="16">
        <f>out_value_stab</f>
        <v>0</v>
      </c>
    </row>
    <row r="47" spans="2:5">
      <c r="B47" s="7" t="s">
        <v>80</v>
      </c>
      <c r="C47" s="16">
        <f>out_salePrice</f>
        <v>0</v>
      </c>
    </row>
    <row r="49" spans="2:5">
      <c r="B49" s="9" t="s">
        <v>81</v>
      </c>
      <c r="C49" s="9"/>
      <c r="D49" s="9"/>
      <c r="E49" s="9"/>
    </row>
    <row r="50" spans="2:5">
      <c r="B50" s="7" t="s">
        <v>82</v>
      </c>
      <c r="C50" s="6" t="s">
        <v>83</v>
      </c>
    </row>
    <row r="52" spans="2:5">
      <c r="B52" s="9" t="s">
        <v>84</v>
      </c>
      <c r="C52" s="9"/>
      <c r="D52" s="9"/>
      <c r="E52" s="9"/>
    </row>
    <row r="53" spans="2:5">
      <c r="B53" s="6"/>
      <c r="C53" s="6"/>
      <c r="D53" s="6"/>
      <c r="E53" s="6"/>
    </row>
    <row r="54" spans="2:5">
      <c r="B54" s="6"/>
      <c r="C54" s="6"/>
      <c r="D54" s="6"/>
      <c r="E54" s="6"/>
    </row>
    <row r="55" spans="2:5">
      <c r="B55" s="6"/>
      <c r="C55" s="6"/>
      <c r="D55" s="6"/>
      <c r="E55" s="6"/>
    </row>
    <row r="56" spans="2:5">
      <c r="B56" s="6"/>
      <c r="C56" s="6"/>
      <c r="D56" s="6"/>
      <c r="E56" s="6"/>
    </row>
    <row r="57" spans="2:5">
      <c r="B57" s="6"/>
      <c r="C57" s="6"/>
      <c r="D57" s="6"/>
      <c r="E57" s="6"/>
    </row>
    <row r="58" spans="2:5">
      <c r="B58" s="6"/>
      <c r="C58" s="6"/>
      <c r="D58" s="6"/>
      <c r="E58" s="6"/>
    </row>
  </sheetData>
  <mergeCells count="10">
    <mergeCell ref="B2:E2"/>
    <mergeCell ref="B3:E3"/>
    <mergeCell ref="B5:E5"/>
    <mergeCell ref="B12:E12"/>
    <mergeCell ref="B18:E18"/>
    <mergeCell ref="B26:E26"/>
    <mergeCell ref="B38:E38"/>
    <mergeCell ref="B49:E49"/>
    <mergeCell ref="B52:E52"/>
    <mergeCell ref="B53:E58"/>
  </mergeCells>
  <dataValidations count="1">
    <dataValidation type="list" allowBlank="1" showInputMessage="1" showErrorMessage="1" sqref="C50">
      <formula1>"Proceed,Hold,Decline,Decline w/ counter,"</formula1>
    </dataValidation>
  </dataValidations>
  <pageMargins left="0.5" right="0.5" top="0.5" bottom="0.5" header="0.3" footer="0.3"/>
  <pageSetup paperSize="1" scale="90" orientation="portrait"/>
  <headerFooter>
    <oddHeader>&amp;L&amp;"Cambria,Bold"Valore Registry — UW Workbook&amp;R&amp;[Deal Name]</oddHeader>
    <oddFooter>&amp;LDeal Summary&amp;CConfidential — internal use only&amp;RPage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B89A5B"/>
  </sheetPr>
  <dimension ref="B2:G62"/>
  <sheetViews>
    <sheetView showGridLines="0" workbookViewId="0"/>
  </sheetViews>
  <sheetFormatPr defaultRowHeight="15"/>
  <cols>
    <col min="1" max="1" width="2.7109375" customWidth="1"/>
    <col min="2" max="2" width="26.7109375" customWidth="1"/>
    <col min="3" max="3" width="18.7109375" customWidth="1"/>
    <col min="4" max="7" width="12.7109375" customWidth="1"/>
  </cols>
  <sheetData>
    <row r="2" spans="2:7">
      <c r="B2" s="1" t="s">
        <v>85</v>
      </c>
      <c r="C2" s="1"/>
      <c r="D2" s="1"/>
      <c r="E2" s="1"/>
      <c r="F2" s="1"/>
      <c r="G2" s="1"/>
    </row>
    <row r="3" spans="2:7">
      <c r="B3" s="2" t="s">
        <v>86</v>
      </c>
      <c r="C3" s="2"/>
      <c r="D3" s="2"/>
      <c r="E3" s="2"/>
      <c r="F3" s="2"/>
      <c r="G3" s="2"/>
    </row>
    <row r="5" spans="2:7">
      <c r="B5" s="9" t="s">
        <v>87</v>
      </c>
      <c r="C5" s="9"/>
      <c r="D5" s="9"/>
      <c r="E5" s="9"/>
      <c r="F5" s="9"/>
      <c r="G5" s="9"/>
    </row>
    <row r="6" spans="2:7">
      <c r="B6" s="7" t="s">
        <v>88</v>
      </c>
      <c r="C6" s="23" t="s">
        <v>89</v>
      </c>
      <c r="D6" s="23" t="s">
        <v>90</v>
      </c>
      <c r="E6" s="23" t="s">
        <v>91</v>
      </c>
      <c r="F6" s="23" t="s">
        <v>92</v>
      </c>
      <c r="G6" s="23" t="s">
        <v>93</v>
      </c>
    </row>
    <row r="7" spans="2:7">
      <c r="B7" s="4" t="s">
        <v>53</v>
      </c>
      <c r="C7" s="24">
        <v>4800000</v>
      </c>
      <c r="D7" s="15">
        <f>IFERROR(C7/in_unitCount, 0)</f>
        <v>0</v>
      </c>
      <c r="E7" s="15">
        <f>IFERROR(C7/in_buildingSF, 0)</f>
        <v>0</v>
      </c>
      <c r="F7" s="25">
        <f>IFERROR(C7/out_TPC, 0)</f>
        <v>0</v>
      </c>
    </row>
    <row r="8" spans="2:7">
      <c r="B8" s="4" t="s">
        <v>94</v>
      </c>
      <c r="C8" s="26">
        <v>42000000</v>
      </c>
      <c r="D8" s="15">
        <f>IFERROR(C8/in_unitCount, 0)</f>
        <v>0</v>
      </c>
      <c r="E8" s="15">
        <f>IFERROR(C8/in_buildingSF, 0)</f>
        <v>0</v>
      </c>
      <c r="F8" s="25">
        <f>IFERROR(C8/out_TPC, 0)</f>
        <v>0</v>
      </c>
    </row>
    <row r="9" spans="2:7">
      <c r="B9" s="4" t="s">
        <v>95</v>
      </c>
      <c r="C9" s="24">
        <v>5400000</v>
      </c>
      <c r="D9" s="15">
        <f>IFERROR(C9/in_unitCount, 0)</f>
        <v>0</v>
      </c>
      <c r="E9" s="15">
        <f>IFERROR(C9/in_buildingSF, 0)</f>
        <v>0</v>
      </c>
      <c r="F9" s="25">
        <f>IFERROR(C9/out_TPC, 0)</f>
        <v>0</v>
      </c>
    </row>
    <row r="10" spans="2:7">
      <c r="B10" s="4" t="s">
        <v>96</v>
      </c>
      <c r="C10" s="24">
        <v>800000</v>
      </c>
      <c r="D10" s="15">
        <f>IFERROR(C10/in_unitCount, 0)</f>
        <v>0</v>
      </c>
      <c r="E10" s="15">
        <f>IFERROR(C10/in_buildingSF, 0)</f>
        <v>0</v>
      </c>
      <c r="F10" s="25">
        <f>IFERROR(C10/out_TPC, 0)</f>
        <v>0</v>
      </c>
    </row>
    <row r="11" spans="2:7">
      <c r="B11" s="4" t="s">
        <v>97</v>
      </c>
      <c r="C11" s="24">
        <v>850000</v>
      </c>
      <c r="D11" s="15">
        <f>IFERROR(C11/in_unitCount, 0)</f>
        <v>0</v>
      </c>
      <c r="E11" s="15">
        <f>IFERROR(C11/in_buildingSF, 0)</f>
        <v>0</v>
      </c>
      <c r="F11" s="25">
        <f>IFERROR(C11/out_TPC, 0)</f>
        <v>0</v>
      </c>
    </row>
    <row r="12" spans="2:7">
      <c r="B12" s="4" t="s">
        <v>98</v>
      </c>
      <c r="C12" s="15">
        <f>in_loanRequest * cmp_allInRate * (in_ioPeriod/12) * in_avgOutstandingPct</f>
        <v>0</v>
      </c>
      <c r="D12" s="15">
        <f>IFERROR(C12/in_unitCount, 0)</f>
        <v>0</v>
      </c>
      <c r="E12" s="15">
        <f>IFERROR(C12/in_buildingSF, 0)</f>
        <v>0</v>
      </c>
      <c r="F12" s="25">
        <f>IFERROR(C12/out_TPC, 0)</f>
        <v>0</v>
      </c>
    </row>
    <row r="13" spans="2:7">
      <c r="B13" s="4" t="s">
        <v>99</v>
      </c>
      <c r="C13" s="24">
        <v>450000</v>
      </c>
      <c r="D13" s="15">
        <f>IFERROR(C13/in_unitCount, 0)</f>
        <v>0</v>
      </c>
      <c r="E13" s="15">
        <f>IFERROR(C13/in_buildingSF, 0)</f>
        <v>0</v>
      </c>
      <c r="F13" s="25">
        <f>IFERROR(C13/out_TPC, 0)</f>
        <v>0</v>
      </c>
    </row>
    <row r="14" spans="2:7">
      <c r="B14" s="4" t="s">
        <v>100</v>
      </c>
      <c r="C14" s="24">
        <v>300000</v>
      </c>
      <c r="D14" s="15">
        <f>IFERROR(C14/in_unitCount, 0)</f>
        <v>0</v>
      </c>
      <c r="E14" s="15">
        <f>IFERROR(C14/in_buildingSF, 0)</f>
        <v>0</v>
      </c>
      <c r="F14" s="25">
        <f>IFERROR(C14/out_TPC, 0)</f>
        <v>0</v>
      </c>
    </row>
    <row r="15" spans="2:7">
      <c r="B15" s="4" t="s">
        <v>101</v>
      </c>
      <c r="C15" s="24">
        <v>300000</v>
      </c>
      <c r="D15" s="15">
        <f>IFERROR(C15/in_unitCount, 0)</f>
        <v>0</v>
      </c>
      <c r="E15" s="15">
        <f>IFERROR(C15/in_buildingSF, 0)</f>
        <v>0</v>
      </c>
      <c r="F15" s="25">
        <f>IFERROR(C15/out_TPC, 0)</f>
        <v>0</v>
      </c>
    </row>
    <row r="16" spans="2:7">
      <c r="B16" s="4" t="s">
        <v>102</v>
      </c>
      <c r="C16" s="15">
        <f>in_useHardCost * in_contingencyPct</f>
        <v>0</v>
      </c>
      <c r="D16" s="15">
        <f>IFERROR(C16/in_unitCount, 0)</f>
        <v>0</v>
      </c>
      <c r="E16" s="15">
        <f>IFERROR(C16/in_buildingSF, 0)</f>
        <v>0</v>
      </c>
      <c r="F16" s="25">
        <f>IFERROR(C16/out_TPC, 0)</f>
        <v>0</v>
      </c>
    </row>
    <row r="17" spans="2:7">
      <c r="B17" s="4" t="s">
        <v>103</v>
      </c>
      <c r="C17" s="24">
        <v>0</v>
      </c>
      <c r="D17" s="15">
        <f>IFERROR(C17/in_unitCount, 0)</f>
        <v>0</v>
      </c>
      <c r="E17" s="15">
        <f>IFERROR(C17/in_buildingSF, 0)</f>
        <v>0</v>
      </c>
      <c r="F17" s="25">
        <f>IFERROR(C17/out_TPC, 0)</f>
        <v>0</v>
      </c>
    </row>
    <row r="19" spans="2:7">
      <c r="B19" s="27" t="s">
        <v>104</v>
      </c>
      <c r="C19" s="28">
        <f>SUM(C7:C17)</f>
        <v>0</v>
      </c>
      <c r="D19" s="28">
        <f>IFERROR(C19/in_unitCount,0)</f>
        <v>0</v>
      </c>
      <c r="E19" s="28">
        <f>IFERROR(C19/in_buildingSF,0)</f>
        <v>0</v>
      </c>
      <c r="F19" s="29">
        <f>1</f>
        <v>0</v>
      </c>
    </row>
    <row r="21" spans="2:7">
      <c r="B21" s="4" t="s">
        <v>105</v>
      </c>
      <c r="C21" s="18">
        <v>0.05</v>
      </c>
    </row>
    <row r="22" spans="2:7">
      <c r="B22" s="4" t="s">
        <v>106</v>
      </c>
      <c r="C22" s="18">
        <v>0.45</v>
      </c>
    </row>
    <row r="25" spans="2:7">
      <c r="B25" s="9" t="s">
        <v>107</v>
      </c>
      <c r="C25" s="9"/>
      <c r="D25" s="9"/>
      <c r="E25" s="9"/>
      <c r="F25" s="9"/>
      <c r="G25" s="9"/>
    </row>
    <row r="26" spans="2:7">
      <c r="B26" s="7" t="s">
        <v>108</v>
      </c>
      <c r="C26" s="23" t="s">
        <v>89</v>
      </c>
      <c r="D26" s="23" t="s">
        <v>92</v>
      </c>
    </row>
    <row r="27" spans="2:7">
      <c r="B27" s="4" t="s">
        <v>109</v>
      </c>
      <c r="C27" s="24">
        <v>42070000</v>
      </c>
      <c r="D27" s="25">
        <f>IFERROR(C27/out_TPC,0)</f>
        <v>0</v>
      </c>
    </row>
    <row r="28" spans="2:7">
      <c r="B28" s="4" t="s">
        <v>110</v>
      </c>
      <c r="C28" s="24">
        <v>0</v>
      </c>
      <c r="D28" s="25">
        <f>IFERROR(C28/out_TPC,0)</f>
        <v>0</v>
      </c>
    </row>
    <row r="29" spans="2:7">
      <c r="B29" s="4" t="s">
        <v>111</v>
      </c>
      <c r="C29" s="24">
        <v>0</v>
      </c>
      <c r="D29" s="25">
        <f>IFERROR(C29/out_TPC,0)</f>
        <v>0</v>
      </c>
    </row>
    <row r="30" spans="2:7">
      <c r="B30" s="4" t="s">
        <v>112</v>
      </c>
      <c r="C30" s="24">
        <v>3000000</v>
      </c>
      <c r="D30" s="25">
        <f>IFERROR(C30/out_TPC,0)</f>
        <v>0</v>
      </c>
    </row>
    <row r="31" spans="2:7">
      <c r="B31" s="4" t="s">
        <v>113</v>
      </c>
      <c r="C31" s="24">
        <v>5200000</v>
      </c>
      <c r="D31" s="25">
        <f>IFERROR(C31/out_TPC,0)</f>
        <v>0</v>
      </c>
    </row>
    <row r="32" spans="2:7">
      <c r="B32" s="4" t="s">
        <v>114</v>
      </c>
      <c r="C32" s="24">
        <v>9830000</v>
      </c>
      <c r="D32" s="25">
        <f>IFERROR(C32/out_TPC,0)</f>
        <v>0</v>
      </c>
    </row>
    <row r="33" spans="2:7">
      <c r="B33" s="4" t="s">
        <v>115</v>
      </c>
      <c r="C33" s="24">
        <v>0</v>
      </c>
      <c r="D33" s="25">
        <f>IFERROR(C33/out_TPC,0)</f>
        <v>0</v>
      </c>
    </row>
    <row r="34" spans="2:7">
      <c r="B34" s="4" t="s">
        <v>103</v>
      </c>
      <c r="C34" s="24">
        <v>0</v>
      </c>
      <c r="D34" s="25">
        <f>IFERROR(C34/out_TPC,0)</f>
        <v>0</v>
      </c>
    </row>
    <row r="36" spans="2:7">
      <c r="B36" s="27" t="s">
        <v>116</v>
      </c>
      <c r="C36" s="28">
        <f>SUM(C27:C34)</f>
        <v>0</v>
      </c>
      <c r="D36" s="29">
        <f>IFERROR(C36/out_TPC,0)</f>
        <v>0</v>
      </c>
    </row>
    <row r="37" spans="2:7">
      <c r="B37" s="7" t="s">
        <v>117</v>
      </c>
      <c r="C37" s="16">
        <f>cmp_totalSources - out_TPC</f>
        <v>0</v>
      </c>
    </row>
    <row r="40" spans="2:7">
      <c r="B40" s="9" t="s">
        <v>133</v>
      </c>
      <c r="C40" s="9"/>
      <c r="D40" s="9"/>
      <c r="E40" s="9"/>
      <c r="F40" s="9"/>
      <c r="G40" s="9"/>
    </row>
    <row r="41" spans="2:7">
      <c r="B41" s="7" t="s">
        <v>134</v>
      </c>
      <c r="C41" s="21">
        <f>IFERROR(in_srcSenior/out_TPC,0)</f>
        <v>0</v>
      </c>
    </row>
    <row r="42" spans="2:7">
      <c r="B42" s="7" t="s">
        <v>135</v>
      </c>
      <c r="C42" s="21">
        <f>IFERROR((in_srcGP+in_srcLP+in_srcPref)/out_TPC,0)</f>
        <v>0</v>
      </c>
    </row>
    <row r="44" spans="2:7">
      <c r="F44" s="9" t="s">
        <v>118</v>
      </c>
      <c r="G44" s="9"/>
    </row>
    <row r="45" spans="2:7">
      <c r="F45" s="7" t="s">
        <v>119</v>
      </c>
      <c r="G45" s="23" t="s">
        <v>89</v>
      </c>
    </row>
    <row r="46" spans="2:7">
      <c r="F46" s="4" t="s">
        <v>120</v>
      </c>
      <c r="G46" s="15">
        <f>C7</f>
        <v>0</v>
      </c>
    </row>
    <row r="47" spans="2:7">
      <c r="F47" s="4" t="s">
        <v>121</v>
      </c>
      <c r="G47" s="15">
        <f>C8</f>
        <v>0</v>
      </c>
    </row>
    <row r="48" spans="2:7">
      <c r="F48" s="4" t="s">
        <v>122</v>
      </c>
      <c r="G48" s="15">
        <f>C9</f>
        <v>0</v>
      </c>
    </row>
    <row r="49" spans="6:7">
      <c r="F49" s="4" t="s">
        <v>96</v>
      </c>
      <c r="G49" s="15">
        <f>C10</f>
        <v>0</v>
      </c>
    </row>
    <row r="50" spans="6:7">
      <c r="F50" s="4" t="s">
        <v>123</v>
      </c>
      <c r="G50" s="15">
        <f>C11</f>
        <v>0</v>
      </c>
    </row>
    <row r="51" spans="6:7">
      <c r="F51" s="4" t="s">
        <v>124</v>
      </c>
      <c r="G51" s="15">
        <f>C12</f>
        <v>0</v>
      </c>
    </row>
    <row r="52" spans="6:7">
      <c r="F52" s="4" t="s">
        <v>125</v>
      </c>
      <c r="G52" s="15">
        <f>C13+C14</f>
        <v>0</v>
      </c>
    </row>
    <row r="53" spans="6:7">
      <c r="F53" s="4" t="s">
        <v>126</v>
      </c>
      <c r="G53" s="15">
        <f>C15</f>
        <v>0</v>
      </c>
    </row>
    <row r="54" spans="6:7">
      <c r="F54" s="4" t="s">
        <v>102</v>
      </c>
      <c r="G54" s="15">
        <f>C16</f>
        <v>0</v>
      </c>
    </row>
    <row r="55" spans="6:7">
      <c r="F55" s="4" t="s">
        <v>127</v>
      </c>
      <c r="G55" s="15">
        <f>C17</f>
        <v>0</v>
      </c>
    </row>
    <row r="56" spans="6:7">
      <c r="F56" s="4" t="s">
        <v>128</v>
      </c>
      <c r="G56" s="15">
        <f>C27</f>
        <v>0</v>
      </c>
    </row>
    <row r="57" spans="6:7">
      <c r="F57" s="4" t="s">
        <v>110</v>
      </c>
      <c r="G57" s="15">
        <f>C28</f>
        <v>0</v>
      </c>
    </row>
    <row r="58" spans="6:7">
      <c r="F58" s="4" t="s">
        <v>129</v>
      </c>
      <c r="G58" s="15">
        <f>C29</f>
        <v>0</v>
      </c>
    </row>
    <row r="59" spans="6:7">
      <c r="F59" s="4" t="s">
        <v>112</v>
      </c>
      <c r="G59" s="15">
        <f>C30</f>
        <v>0</v>
      </c>
    </row>
    <row r="60" spans="6:7">
      <c r="F60" s="4" t="s">
        <v>130</v>
      </c>
      <c r="G60" s="15">
        <f>C31</f>
        <v>0</v>
      </c>
    </row>
    <row r="61" spans="6:7">
      <c r="F61" s="4" t="s">
        <v>131</v>
      </c>
      <c r="G61" s="15">
        <f>C32</f>
        <v>0</v>
      </c>
    </row>
    <row r="62" spans="6:7">
      <c r="F62" s="4" t="s">
        <v>132</v>
      </c>
      <c r="G62" s="15">
        <f>C33+C34</f>
        <v>0</v>
      </c>
    </row>
  </sheetData>
  <mergeCells count="6">
    <mergeCell ref="B2:G2"/>
    <mergeCell ref="B3:G3"/>
    <mergeCell ref="B5:G5"/>
    <mergeCell ref="B25:G25"/>
    <mergeCell ref="F44:G44"/>
    <mergeCell ref="B40:G40"/>
  </mergeCells>
  <conditionalFormatting sqref="C37">
    <cfRule type="cellIs" dxfId="0" priority="1" operator="notEqual">
      <formula>0</formula>
    </cfRule>
  </conditionalFormatting>
  <pageMargins left="0.5" right="0.5" top="0.5" bottom="0.5" header="0.3" footer="0.3"/>
  <pageSetup paperSize="1" scale="85" orientation="landscape"/>
  <headerFooter>
    <oddHeader>&amp;L&amp;"Cambria,Bold"Valore Registry — UW Workbook&amp;R&amp;[Deal Name]</oddHeader>
    <oddFooter>&amp;LSources &amp; Uses&amp;CConfidential — internal use only&amp;RPage 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D8D2C4"/>
  </sheetPr>
  <dimension ref="B2:K15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2.7109375" customWidth="1"/>
    <col min="2" max="2" width="18.7109375" customWidth="1"/>
    <col min="3" max="3" width="10.7109375" customWidth="1"/>
    <col min="4" max="4" width="12.7109375" customWidth="1"/>
    <col min="5" max="6" width="14.7109375" customWidth="1"/>
    <col min="7" max="7" width="16.7109375" customWidth="1"/>
    <col min="8" max="9" width="14.7109375" customWidth="1"/>
    <col min="10" max="10" width="12.7109375" customWidth="1"/>
    <col min="11" max="11" width="24.7109375" customWidth="1"/>
  </cols>
  <sheetData>
    <row r="2" spans="2:11">
      <c r="B2" s="1" t="s">
        <v>136</v>
      </c>
      <c r="C2" s="1"/>
      <c r="D2" s="1"/>
      <c r="E2" s="1"/>
      <c r="F2" s="1"/>
      <c r="G2" s="1"/>
      <c r="H2" s="1"/>
      <c r="I2" s="1"/>
      <c r="J2" s="1"/>
      <c r="K2" s="1"/>
    </row>
    <row r="3" spans="2:11">
      <c r="B3" s="2" t="s">
        <v>137</v>
      </c>
      <c r="C3" s="2"/>
      <c r="D3" s="2"/>
      <c r="E3" s="2"/>
      <c r="F3" s="2"/>
      <c r="G3" s="2"/>
      <c r="H3" s="2"/>
      <c r="I3" s="2"/>
      <c r="J3" s="2"/>
      <c r="K3" s="2"/>
    </row>
    <row r="5" spans="2:11">
      <c r="B5" s="7" t="s">
        <v>138</v>
      </c>
      <c r="C5" s="7" t="s">
        <v>139</v>
      </c>
      <c r="D5" s="7" t="s">
        <v>140</v>
      </c>
      <c r="E5" s="7" t="s">
        <v>141</v>
      </c>
      <c r="F5" s="7" t="s">
        <v>142</v>
      </c>
      <c r="G5" s="7" t="s">
        <v>143</v>
      </c>
      <c r="H5" s="7" t="s">
        <v>144</v>
      </c>
      <c r="I5" s="7" t="s">
        <v>145</v>
      </c>
      <c r="J5" s="7" t="s">
        <v>146</v>
      </c>
      <c r="K5" s="7" t="s">
        <v>93</v>
      </c>
    </row>
    <row r="6" spans="2:11">
      <c r="B6" s="6" t="s">
        <v>147</v>
      </c>
      <c r="C6" s="14">
        <v>90</v>
      </c>
      <c r="D6" s="14">
        <v>750</v>
      </c>
      <c r="E6" s="24">
        <v>1700</v>
      </c>
      <c r="F6" s="24">
        <v>1525</v>
      </c>
      <c r="G6" s="15">
        <f>C6*E6*12</f>
        <v>0</v>
      </c>
      <c r="H6" s="15">
        <f>IFERROR(E6/D6,0)</f>
        <v>0</v>
      </c>
      <c r="I6" s="25">
        <f>IFERROR((E6-F6)/E6,0)</f>
        <v>0</v>
      </c>
      <c r="J6" s="18">
        <v>0.06</v>
      </c>
      <c r="K6" s="6" t="s">
        <v>148</v>
      </c>
    </row>
    <row r="7" spans="2:11">
      <c r="B7" s="6" t="s">
        <v>149</v>
      </c>
      <c r="C7" s="14">
        <v>110</v>
      </c>
      <c r="D7" s="14">
        <v>1050</v>
      </c>
      <c r="E7" s="24">
        <v>1950</v>
      </c>
      <c r="F7" s="24">
        <v>1750</v>
      </c>
      <c r="G7" s="15">
        <f>C7*E7*12</f>
        <v>0</v>
      </c>
      <c r="H7" s="15">
        <f>IFERROR(E7/D7,0)</f>
        <v>0</v>
      </c>
      <c r="I7" s="25">
        <f>IFERROR((E7-F7)/E7,0)</f>
        <v>0</v>
      </c>
      <c r="J7" s="18">
        <v>0.06</v>
      </c>
      <c r="K7" s="6" t="s">
        <v>150</v>
      </c>
    </row>
    <row r="8" spans="2:11">
      <c r="B8" s="6" t="s">
        <v>151</v>
      </c>
      <c r="C8" s="14">
        <v>40</v>
      </c>
      <c r="D8" s="14">
        <v>1350</v>
      </c>
      <c r="E8" s="24">
        <v>2400</v>
      </c>
      <c r="F8" s="24">
        <v>2150</v>
      </c>
      <c r="G8" s="15">
        <f>C8*E8*12</f>
        <v>0</v>
      </c>
      <c r="H8" s="15">
        <f>IFERROR(E8/D8,0)</f>
        <v>0</v>
      </c>
      <c r="I8" s="25">
        <f>IFERROR((E8-F8)/E8,0)</f>
        <v>0</v>
      </c>
      <c r="J8" s="18">
        <v>0.06</v>
      </c>
      <c r="K8" s="6" t="s">
        <v>152</v>
      </c>
    </row>
    <row r="9" spans="2:11">
      <c r="B9" s="6"/>
      <c r="C9" s="14"/>
      <c r="D9" s="14"/>
      <c r="E9" s="24"/>
      <c r="F9" s="24"/>
      <c r="G9" s="15">
        <f>C9*E9*12</f>
        <v>0</v>
      </c>
      <c r="H9" s="15">
        <f>IFERROR(E9/D9,0)</f>
        <v>0</v>
      </c>
      <c r="I9" s="25">
        <f>IFERROR((E9-F9)/E9,0)</f>
        <v>0</v>
      </c>
      <c r="J9" s="18"/>
      <c r="K9" s="6"/>
    </row>
    <row r="10" spans="2:11">
      <c r="B10" s="6"/>
      <c r="C10" s="14"/>
      <c r="D10" s="14"/>
      <c r="E10" s="24"/>
      <c r="F10" s="24"/>
      <c r="G10" s="15">
        <f>C10*E10*12</f>
        <v>0</v>
      </c>
      <c r="H10" s="15">
        <f>IFERROR(E10/D10,0)</f>
        <v>0</v>
      </c>
      <c r="I10" s="25">
        <f>IFERROR((E10-F10)/E10,0)</f>
        <v>0</v>
      </c>
      <c r="J10" s="18"/>
      <c r="K10" s="6"/>
    </row>
    <row r="11" spans="2:11">
      <c r="B11" s="6"/>
      <c r="C11" s="14"/>
      <c r="D11" s="14"/>
      <c r="E11" s="24"/>
      <c r="F11" s="24"/>
      <c r="G11" s="15">
        <f>C11*E11*12</f>
        <v>0</v>
      </c>
      <c r="H11" s="15">
        <f>IFERROR(E11/D11,0)</f>
        <v>0</v>
      </c>
      <c r="I11" s="25">
        <f>IFERROR((E11-F11)/E11,0)</f>
        <v>0</v>
      </c>
      <c r="J11" s="18"/>
      <c r="K11" s="6"/>
    </row>
    <row r="12" spans="2:11">
      <c r="B12" s="6"/>
      <c r="C12" s="14"/>
      <c r="D12" s="14"/>
      <c r="E12" s="24"/>
      <c r="F12" s="24"/>
      <c r="G12" s="15">
        <f>C12*E12*12</f>
        <v>0</v>
      </c>
      <c r="H12" s="15">
        <f>IFERROR(E12/D12,0)</f>
        <v>0</v>
      </c>
      <c r="I12" s="25">
        <f>IFERROR((E12-F12)/E12,0)</f>
        <v>0</v>
      </c>
      <c r="J12" s="18"/>
      <c r="K12" s="6"/>
    </row>
    <row r="13" spans="2:11">
      <c r="B13" s="6"/>
      <c r="C13" s="14"/>
      <c r="D13" s="14"/>
      <c r="E13" s="24"/>
      <c r="F13" s="24"/>
      <c r="G13" s="15">
        <f>C13*E13*12</f>
        <v>0</v>
      </c>
      <c r="H13" s="15">
        <f>IFERROR(E13/D13,0)</f>
        <v>0</v>
      </c>
      <c r="I13" s="25">
        <f>IFERROR((E13-F13)/E13,0)</f>
        <v>0</v>
      </c>
      <c r="J13" s="18"/>
      <c r="K13" s="6"/>
    </row>
    <row r="15" spans="2:11">
      <c r="B15" s="27" t="s">
        <v>153</v>
      </c>
      <c r="C15" s="27">
        <f>SUM(C6:C13)</f>
        <v>0</v>
      </c>
      <c r="D15" s="27">
        <f>IFERROR(SUMPRODUCT(C6:C13,D6:D13)/C15,0)</f>
        <v>0</v>
      </c>
      <c r="E15" s="28">
        <f>IFERROR(SUMPRODUCT(C6:C13,E6:E13)/C15,0)</f>
        <v>0</v>
      </c>
      <c r="F15" s="28">
        <f>IFERROR(SUMPRODUCT(C6:C13,F6:F13)/C15,0)</f>
        <v>0</v>
      </c>
      <c r="G15" s="28">
        <f>SUM(G6:G13)</f>
        <v>0</v>
      </c>
    </row>
  </sheetData>
  <mergeCells count="2">
    <mergeCell ref="B2:K2"/>
    <mergeCell ref="B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D8D2C4"/>
  </sheetPr>
  <dimension ref="B2:O32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/>
  <cols>
    <col min="1" max="1" width="2.7109375" customWidth="1"/>
    <col min="2" max="2" width="28.7109375" customWidth="1"/>
    <col min="3" max="14" width="11.7109375" customWidth="1"/>
    <col min="15" max="15" width="14.7109375" customWidth="1"/>
  </cols>
  <sheetData>
    <row r="2" spans="2:15">
      <c r="B2" s="1" t="s">
        <v>154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>
      <c r="B3" s="2" t="s">
        <v>155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2:15">
      <c r="B5" s="7" t="s">
        <v>88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3" t="s">
        <v>161</v>
      </c>
      <c r="I5" s="23" t="s">
        <v>162</v>
      </c>
      <c r="J5" s="23" t="s">
        <v>163</v>
      </c>
      <c r="K5" s="23" t="s">
        <v>164</v>
      </c>
      <c r="L5" s="23" t="s">
        <v>165</v>
      </c>
      <c r="M5" s="23" t="s">
        <v>166</v>
      </c>
      <c r="N5" s="23" t="s">
        <v>167</v>
      </c>
      <c r="O5" s="7" t="s">
        <v>168</v>
      </c>
    </row>
    <row r="7" spans="2:15">
      <c r="B7" s="9" t="s">
        <v>169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2:15">
      <c r="B8" s="4" t="s">
        <v>170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5">
        <f>SUM(C8:N8)</f>
        <v>0</v>
      </c>
    </row>
    <row r="9" spans="2:15">
      <c r="B9" s="4" t="s">
        <v>171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15">
        <f>SUM(C9:N9)</f>
        <v>0</v>
      </c>
    </row>
    <row r="10" spans="2:15">
      <c r="B10" s="4" t="s">
        <v>172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15">
        <f>SUM(C10:N10)</f>
        <v>0</v>
      </c>
    </row>
    <row r="11" spans="2:15">
      <c r="B11" s="4" t="s">
        <v>173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5">
        <f>SUM(C11:N11)</f>
        <v>0</v>
      </c>
    </row>
    <row r="12" spans="2:15">
      <c r="B12" s="4" t="s">
        <v>174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5">
        <f>SUM(C12:N12)</f>
        <v>0</v>
      </c>
    </row>
    <row r="13" spans="2:15">
      <c r="B13" s="4" t="s">
        <v>175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15">
        <f>SUM(C13:N13)</f>
        <v>0</v>
      </c>
    </row>
    <row r="15" spans="2:15">
      <c r="B15" s="27" t="s">
        <v>176</v>
      </c>
      <c r="C15" s="28">
        <f>SUM(C8:C10)+SUM(C13:C13)-SUM(C11:C12)</f>
        <v>0</v>
      </c>
      <c r="D15" s="28">
        <f>SUM(D8:D10)+SUM(D13:D13)-SUM(D11:D12)</f>
        <v>0</v>
      </c>
      <c r="E15" s="28">
        <f>SUM(E8:E10)+SUM(E13:E13)-SUM(E11:E12)</f>
        <v>0</v>
      </c>
      <c r="F15" s="28">
        <f>SUM(F8:F10)+SUM(F13:F13)-SUM(F11:F12)</f>
        <v>0</v>
      </c>
      <c r="G15" s="28">
        <f>SUM(G8:G10)+SUM(G13:G13)-SUM(G11:G12)</f>
        <v>0</v>
      </c>
      <c r="H15" s="28">
        <f>SUM(H8:H10)+SUM(H13:H13)-SUM(H11:H12)</f>
        <v>0</v>
      </c>
      <c r="I15" s="28">
        <f>SUM(I8:I10)+SUM(I13:I13)-SUM(I11:I12)</f>
        <v>0</v>
      </c>
      <c r="J15" s="28">
        <f>SUM(J8:J10)+SUM(J13:J13)-SUM(J11:J12)</f>
        <v>0</v>
      </c>
      <c r="K15" s="28">
        <f>SUM(K8:K10)+SUM(K13:K13)-SUM(K11:K12)</f>
        <v>0</v>
      </c>
      <c r="L15" s="28">
        <f>SUM(L8:L10)+SUM(L13:L13)-SUM(L11:L12)</f>
        <v>0</v>
      </c>
      <c r="M15" s="28">
        <f>SUM(M8:M10)+SUM(M13:M13)-SUM(M11:M12)</f>
        <v>0</v>
      </c>
      <c r="N15" s="28">
        <f>SUM(N8:N10)+SUM(N13:N13)-SUM(N11:N12)</f>
        <v>0</v>
      </c>
      <c r="O15" s="28">
        <f>SUM(O8:O13)</f>
        <v>0</v>
      </c>
    </row>
    <row r="17" spans="2:15">
      <c r="B17" s="9" t="s">
        <v>177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>
      <c r="B18" s="4" t="s">
        <v>178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5">
        <f>SUM(C18:N18)</f>
        <v>0</v>
      </c>
    </row>
    <row r="19" spans="2:15">
      <c r="B19" s="4" t="s">
        <v>179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15">
        <f>SUM(C19:N19)</f>
        <v>0</v>
      </c>
    </row>
    <row r="20" spans="2:15">
      <c r="B20" s="4" t="s">
        <v>180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15">
        <f>SUM(C20:N20)</f>
        <v>0</v>
      </c>
    </row>
    <row r="21" spans="2:15">
      <c r="B21" s="4" t="s">
        <v>181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15">
        <f>SUM(C21:N21)</f>
        <v>0</v>
      </c>
    </row>
    <row r="22" spans="2:15">
      <c r="B22" s="4" t="s">
        <v>182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15">
        <f>SUM(C22:N22)</f>
        <v>0</v>
      </c>
    </row>
    <row r="23" spans="2:15">
      <c r="B23" s="4" t="s">
        <v>183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15">
        <f>SUM(C23:N23)</f>
        <v>0</v>
      </c>
    </row>
    <row r="24" spans="2:15">
      <c r="B24" s="4" t="s">
        <v>184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15">
        <f>SUM(C24:N24)</f>
        <v>0</v>
      </c>
    </row>
    <row r="25" spans="2:15">
      <c r="B25" s="4" t="s">
        <v>185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15">
        <f>SUM(C25:N25)</f>
        <v>0</v>
      </c>
    </row>
    <row r="26" spans="2:15">
      <c r="B26" s="4" t="s">
        <v>186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15">
        <f>SUM(C26:N26)</f>
        <v>0</v>
      </c>
    </row>
    <row r="27" spans="2:15">
      <c r="B27" s="4" t="s">
        <v>187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15">
        <f>SUM(C27:N27)</f>
        <v>0</v>
      </c>
    </row>
    <row r="28" spans="2:15">
      <c r="B28" s="4" t="s">
        <v>188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15">
        <f>SUM(C28:N28)</f>
        <v>0</v>
      </c>
    </row>
    <row r="30" spans="2:15">
      <c r="B30" s="27" t="s">
        <v>189</v>
      </c>
      <c r="C30" s="28">
        <f>SUM(C18:C28)</f>
        <v>0</v>
      </c>
      <c r="D30" s="28">
        <f>SUM(D18:D28)</f>
        <v>0</v>
      </c>
      <c r="E30" s="28">
        <f>SUM(E18:E28)</f>
        <v>0</v>
      </c>
      <c r="F30" s="28">
        <f>SUM(F18:F28)</f>
        <v>0</v>
      </c>
      <c r="G30" s="28">
        <f>SUM(G18:G28)</f>
        <v>0</v>
      </c>
      <c r="H30" s="28">
        <f>SUM(H18:H28)</f>
        <v>0</v>
      </c>
      <c r="I30" s="28">
        <f>SUM(I18:I28)</f>
        <v>0</v>
      </c>
      <c r="J30" s="28">
        <f>SUM(J18:J28)</f>
        <v>0</v>
      </c>
      <c r="K30" s="28">
        <f>SUM(K18:K28)</f>
        <v>0</v>
      </c>
      <c r="L30" s="28">
        <f>SUM(L18:L28)</f>
        <v>0</v>
      </c>
      <c r="M30" s="28">
        <f>SUM(M18:M28)</f>
        <v>0</v>
      </c>
      <c r="N30" s="28">
        <f>SUM(N18:N28)</f>
        <v>0</v>
      </c>
      <c r="O30" s="28">
        <f>SUM(O18:O28)</f>
        <v>0</v>
      </c>
    </row>
    <row r="32" spans="2:15">
      <c r="B32" s="27" t="s">
        <v>190</v>
      </c>
      <c r="C32" s="28">
        <f>C15-C30</f>
        <v>0</v>
      </c>
      <c r="D32" s="28">
        <f>D15-D30</f>
        <v>0</v>
      </c>
      <c r="E32" s="28">
        <f>E15-E30</f>
        <v>0</v>
      </c>
      <c r="F32" s="28">
        <f>F15-F30</f>
        <v>0</v>
      </c>
      <c r="G32" s="28">
        <f>G15-G30</f>
        <v>0</v>
      </c>
      <c r="H32" s="28">
        <f>H15-H30</f>
        <v>0</v>
      </c>
      <c r="I32" s="28">
        <f>I15-I30</f>
        <v>0</v>
      </c>
      <c r="J32" s="28">
        <f>J15-J30</f>
        <v>0</v>
      </c>
      <c r="K32" s="28">
        <f>K15-K30</f>
        <v>0</v>
      </c>
      <c r="L32" s="28">
        <f>L15-L30</f>
        <v>0</v>
      </c>
      <c r="M32" s="28">
        <f>M15-M30</f>
        <v>0</v>
      </c>
      <c r="N32" s="28">
        <f>N15-N30</f>
        <v>0</v>
      </c>
      <c r="O32" s="28">
        <f>O15-O30</f>
        <v>0</v>
      </c>
    </row>
  </sheetData>
  <mergeCells count="4">
    <mergeCell ref="B2:O2"/>
    <mergeCell ref="B3:O3"/>
    <mergeCell ref="B7:O7"/>
    <mergeCell ref="B17:O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B89A5B"/>
  </sheetPr>
  <dimension ref="B2:F53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16.7109375" customWidth="1"/>
    <col min="4" max="5" width="14.7109375" customWidth="1"/>
    <col min="6" max="6" width="28.7109375" customWidth="1"/>
  </cols>
  <sheetData>
    <row r="2" spans="2:6">
      <c r="B2" s="1" t="s">
        <v>191</v>
      </c>
      <c r="C2" s="1"/>
      <c r="D2" s="1"/>
      <c r="E2" s="1"/>
      <c r="F2" s="1"/>
    </row>
    <row r="3" spans="2:6">
      <c r="B3" s="2" t="s">
        <v>192</v>
      </c>
      <c r="C3" s="2"/>
      <c r="D3" s="2"/>
      <c r="E3" s="2"/>
      <c r="F3" s="2"/>
    </row>
    <row r="5" spans="2:6">
      <c r="B5" s="9" t="s">
        <v>193</v>
      </c>
      <c r="C5" s="9"/>
      <c r="D5" s="9"/>
      <c r="E5" s="9"/>
      <c r="F5" s="9"/>
    </row>
    <row r="6" spans="2:6">
      <c r="B6" s="4" t="s">
        <v>194</v>
      </c>
      <c r="C6" s="18">
        <v>0.9399999999999999</v>
      </c>
    </row>
    <row r="7" spans="2:6">
      <c r="B7" s="4" t="s">
        <v>195</v>
      </c>
      <c r="C7" s="24">
        <v>1825</v>
      </c>
    </row>
    <row r="8" spans="2:6">
      <c r="B8" s="4" t="s">
        <v>196</v>
      </c>
      <c r="C8" s="24">
        <v>85</v>
      </c>
    </row>
    <row r="9" spans="2:6">
      <c r="B9" s="4" t="s">
        <v>197</v>
      </c>
      <c r="C9" s="18">
        <v>0.03</v>
      </c>
    </row>
    <row r="10" spans="2:6">
      <c r="B10" s="4" t="s">
        <v>198</v>
      </c>
      <c r="C10" s="18">
        <v>0.025</v>
      </c>
    </row>
    <row r="11" spans="2:6">
      <c r="B11" s="4" t="s">
        <v>146</v>
      </c>
      <c r="C11" s="18">
        <v>0.06</v>
      </c>
    </row>
    <row r="12" spans="2:6">
      <c r="B12" s="4" t="s">
        <v>199</v>
      </c>
      <c r="C12" s="18">
        <v>0.02</v>
      </c>
    </row>
    <row r="13" spans="2:6">
      <c r="B13" s="4" t="s">
        <v>200</v>
      </c>
      <c r="C13" s="18">
        <v>0.03</v>
      </c>
    </row>
    <row r="14" spans="2:6">
      <c r="B14" s="4" t="s">
        <v>201</v>
      </c>
      <c r="C14" s="18">
        <v>0.03</v>
      </c>
    </row>
    <row r="15" spans="2:6">
      <c r="B15" s="4" t="s">
        <v>202</v>
      </c>
      <c r="C15" s="24">
        <v>250</v>
      </c>
    </row>
    <row r="16" spans="2:6">
      <c r="B16" s="4" t="s">
        <v>203</v>
      </c>
      <c r="C16" s="24">
        <v>280000</v>
      </c>
    </row>
    <row r="17" spans="2:6">
      <c r="B17" s="4" t="s">
        <v>204</v>
      </c>
      <c r="C17" s="24">
        <v>144000</v>
      </c>
    </row>
    <row r="18" spans="2:6">
      <c r="B18" s="4" t="s">
        <v>205</v>
      </c>
      <c r="C18" s="24">
        <v>240000</v>
      </c>
    </row>
    <row r="19" spans="2:6">
      <c r="B19" s="4" t="s">
        <v>206</v>
      </c>
      <c r="C19" s="24">
        <v>96000</v>
      </c>
    </row>
    <row r="20" spans="2:6">
      <c r="B20" s="4" t="s">
        <v>207</v>
      </c>
      <c r="C20" s="24">
        <v>60000</v>
      </c>
    </row>
    <row r="21" spans="2:6">
      <c r="B21" s="4" t="s">
        <v>208</v>
      </c>
      <c r="C21" s="24">
        <v>48000</v>
      </c>
    </row>
    <row r="22" spans="2:6">
      <c r="B22" s="4" t="s">
        <v>209</v>
      </c>
      <c r="C22" s="24">
        <v>24000</v>
      </c>
    </row>
    <row r="23" spans="2:6">
      <c r="B23" s="4" t="s">
        <v>210</v>
      </c>
      <c r="C23" s="24">
        <v>24000</v>
      </c>
    </row>
    <row r="24" spans="2:6">
      <c r="B24" s="4" t="s">
        <v>211</v>
      </c>
      <c r="C24" s="24">
        <v>12000</v>
      </c>
    </row>
    <row r="27" spans="2:6">
      <c r="B27" s="9" t="s">
        <v>212</v>
      </c>
      <c r="C27" s="9"/>
      <c r="D27" s="9"/>
      <c r="E27" s="9"/>
      <c r="F27" s="9"/>
    </row>
    <row r="28" spans="2:6">
      <c r="B28" s="4" t="s">
        <v>213</v>
      </c>
      <c r="C28" s="15">
        <f>in_unitCount * in_stab_rentPerUnit * 12</f>
        <v>0</v>
      </c>
    </row>
    <row r="29" spans="2:6">
      <c r="B29" s="4" t="s">
        <v>214</v>
      </c>
      <c r="C29" s="15">
        <f>in_unitCount * in_stab_otherIncomePerUnit * 12</f>
        <v>0</v>
      </c>
    </row>
    <row r="30" spans="2:6">
      <c r="B30" s="4" t="s">
        <v>215</v>
      </c>
      <c r="C30" s="15">
        <f>-C28 * in_stab_vacancy</f>
        <v>0</v>
      </c>
    </row>
    <row r="31" spans="2:6">
      <c r="B31" s="4" t="s">
        <v>216</v>
      </c>
      <c r="C31" s="15">
        <f>-C28 * in_creditLoss</f>
        <v>0</v>
      </c>
    </row>
    <row r="32" spans="2:6">
      <c r="B32" s="7" t="s">
        <v>217</v>
      </c>
      <c r="C32" s="28">
        <f>SUM(C28:C31)</f>
        <v>0</v>
      </c>
    </row>
    <row r="34" spans="2:3">
      <c r="B34" s="7" t="s">
        <v>218</v>
      </c>
    </row>
    <row r="35" spans="2:3">
      <c r="B35" s="4" t="s">
        <v>181</v>
      </c>
      <c r="C35" s="15">
        <f>in_stab_taxes</f>
        <v>0</v>
      </c>
    </row>
    <row r="36" spans="2:3">
      <c r="B36" s="4" t="s">
        <v>182</v>
      </c>
      <c r="C36" s="15">
        <f>in_stab_insurance</f>
        <v>0</v>
      </c>
    </row>
    <row r="37" spans="2:3">
      <c r="B37" s="4" t="s">
        <v>178</v>
      </c>
      <c r="C37" s="15">
        <f>in_stab_payroll</f>
        <v>0</v>
      </c>
    </row>
    <row r="38" spans="2:3">
      <c r="B38" s="4" t="s">
        <v>179</v>
      </c>
      <c r="C38" s="15">
        <f>in_stab_rm</f>
        <v>0</v>
      </c>
    </row>
    <row r="39" spans="2:3">
      <c r="B39" s="4" t="s">
        <v>180</v>
      </c>
      <c r="C39" s="15">
        <f>in_stab_utilities</f>
        <v>0</v>
      </c>
    </row>
    <row r="40" spans="2:3">
      <c r="B40" s="4" t="s">
        <v>184</v>
      </c>
      <c r="C40" s="15">
        <f>in_stab_contract</f>
        <v>0</v>
      </c>
    </row>
    <row r="41" spans="2:3">
      <c r="B41" s="4" t="s">
        <v>185</v>
      </c>
      <c r="C41" s="15">
        <f>in_stab_marketing</f>
        <v>0</v>
      </c>
    </row>
    <row r="42" spans="2:3">
      <c r="B42" s="4" t="s">
        <v>186</v>
      </c>
      <c r="C42" s="15">
        <f>in_stab_ga</f>
        <v>0</v>
      </c>
    </row>
    <row r="43" spans="2:3">
      <c r="B43" s="4" t="s">
        <v>183</v>
      </c>
      <c r="C43" s="15">
        <f>C32 * in_mgmtFeePct</f>
        <v>0</v>
      </c>
    </row>
    <row r="44" spans="2:3">
      <c r="B44" s="4" t="s">
        <v>187</v>
      </c>
      <c r="C44" s="15">
        <f>in_unitCount * in_reservesPerUnit</f>
        <v>0</v>
      </c>
    </row>
    <row r="45" spans="2:3">
      <c r="B45" s="4" t="s">
        <v>219</v>
      </c>
      <c r="C45" s="15">
        <f>in_stab_other</f>
        <v>0</v>
      </c>
    </row>
    <row r="46" spans="2:3">
      <c r="B46" s="27" t="s">
        <v>189</v>
      </c>
      <c r="C46" s="28">
        <f>SUM(C35:C45)</f>
        <v>0</v>
      </c>
    </row>
    <row r="48" spans="2:3">
      <c r="B48" s="7" t="s">
        <v>220</v>
      </c>
      <c r="C48" s="16">
        <f>C32-C46</f>
        <v>0</v>
      </c>
    </row>
    <row r="50" spans="2:3">
      <c r="B50" s="4" t="s">
        <v>221</v>
      </c>
      <c r="C50" s="15">
        <f>IFERROR(C48/in_unitCount,0)</f>
        <v>0</v>
      </c>
    </row>
    <row r="51" spans="2:3">
      <c r="B51" s="4" t="s">
        <v>222</v>
      </c>
      <c r="C51" s="25">
        <f>IFERROR(C46/C32,0)</f>
        <v>0</v>
      </c>
    </row>
    <row r="52" spans="2:3">
      <c r="B52" s="4" t="s">
        <v>223</v>
      </c>
      <c r="C52" s="25">
        <f>IFERROR(C48/C32,0)</f>
        <v>0</v>
      </c>
    </row>
    <row r="53" spans="2:3">
      <c r="B53" s="7" t="s">
        <v>77</v>
      </c>
      <c r="C53" s="21">
        <f>IFERROR(C48/out_TPC,0)</f>
        <v>0</v>
      </c>
    </row>
  </sheetData>
  <mergeCells count="4">
    <mergeCell ref="B2:F2"/>
    <mergeCell ref="B3:F3"/>
    <mergeCell ref="B5:F5"/>
    <mergeCell ref="B27:F27"/>
  </mergeCells>
  <pageMargins left="0.5" right="0.5" top="0.5" bottom="0.5" header="0.3" footer="0.3"/>
  <pageSetup paperSize="1" orientation="portrait"/>
  <headerFooter>
    <oddHeader>&amp;L&amp;"Cambria,Bold"Valore Registry — UW Workbook&amp;R&amp;[Deal Name]</oddHeader>
    <oddFooter>&amp;LStabilized Pro Forma&amp;CConfidential — internal use only&amp;RPage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D8D2C4"/>
  </sheetPr>
  <dimension ref="B2:E32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16.7109375" customWidth="1"/>
    <col min="4" max="5" width="12.7109375" customWidth="1"/>
  </cols>
  <sheetData>
    <row r="2" spans="2:5">
      <c r="B2" s="1" t="s">
        <v>224</v>
      </c>
      <c r="C2" s="1"/>
      <c r="D2" s="1"/>
      <c r="E2" s="1"/>
    </row>
    <row r="3" spans="2:5">
      <c r="B3" s="2" t="s">
        <v>225</v>
      </c>
      <c r="C3" s="2"/>
      <c r="D3" s="2"/>
      <c r="E3" s="2"/>
    </row>
    <row r="5" spans="2:5">
      <c r="B5" s="9" t="s">
        <v>226</v>
      </c>
      <c r="C5" s="9"/>
      <c r="D5" s="9"/>
      <c r="E5" s="9"/>
    </row>
    <row r="6" spans="2:5">
      <c r="B6" s="4" t="s">
        <v>227</v>
      </c>
      <c r="C6" s="24">
        <v>8500000</v>
      </c>
    </row>
    <row r="7" spans="2:5">
      <c r="B7" s="4" t="s">
        <v>228</v>
      </c>
      <c r="C7" s="24">
        <v>4200000</v>
      </c>
    </row>
    <row r="8" spans="2:5">
      <c r="B8" s="4" t="s">
        <v>229</v>
      </c>
      <c r="C8" s="24">
        <v>12500000</v>
      </c>
    </row>
    <row r="9" spans="2:5">
      <c r="B9" s="4" t="s">
        <v>230</v>
      </c>
      <c r="C9" s="24">
        <v>8100000</v>
      </c>
    </row>
    <row r="10" spans="2:5">
      <c r="B10" s="4" t="s">
        <v>231</v>
      </c>
      <c r="C10" s="24">
        <v>6700000</v>
      </c>
    </row>
    <row r="11" spans="2:5">
      <c r="B11" s="4" t="s">
        <v>232</v>
      </c>
      <c r="C11" s="24">
        <v>2000000</v>
      </c>
    </row>
    <row r="13" spans="2:5">
      <c r="B13" s="27" t="s">
        <v>233</v>
      </c>
      <c r="C13" s="28">
        <f>SUM(C6:C11)</f>
        <v>0</v>
      </c>
    </row>
    <row r="14" spans="2:5">
      <c r="B14" s="4" t="s">
        <v>234</v>
      </c>
      <c r="C14" s="15">
        <f>C13 * in_contingencyPct</f>
        <v>0</v>
      </c>
    </row>
    <row r="15" spans="2:5">
      <c r="B15" s="7" t="s">
        <v>235</v>
      </c>
      <c r="C15" s="16">
        <f>C13+C14</f>
        <v>0</v>
      </c>
    </row>
    <row r="17" spans="2:5">
      <c r="B17" s="9" t="s">
        <v>236</v>
      </c>
      <c r="C17" s="9"/>
      <c r="D17" s="9"/>
      <c r="E17" s="9"/>
    </row>
    <row r="18" spans="2:5">
      <c r="B18" s="4" t="s">
        <v>237</v>
      </c>
      <c r="C18" s="24">
        <v>1800000</v>
      </c>
    </row>
    <row r="19" spans="2:5">
      <c r="B19" s="4" t="s">
        <v>238</v>
      </c>
      <c r="C19" s="24">
        <v>240000</v>
      </c>
    </row>
    <row r="20" spans="2:5">
      <c r="B20" s="4" t="s">
        <v>239</v>
      </c>
      <c r="C20" s="24">
        <v>350000</v>
      </c>
    </row>
    <row r="21" spans="2:5">
      <c r="B21" s="4" t="s">
        <v>240</v>
      </c>
      <c r="C21" s="24">
        <v>480000</v>
      </c>
    </row>
    <row r="22" spans="2:5">
      <c r="B22" s="4" t="s">
        <v>241</v>
      </c>
      <c r="C22" s="24">
        <v>720000</v>
      </c>
    </row>
    <row r="23" spans="2:5">
      <c r="B23" s="4" t="s">
        <v>242</v>
      </c>
      <c r="C23" s="24">
        <v>420000</v>
      </c>
    </row>
    <row r="24" spans="2:5">
      <c r="B24" s="4" t="s">
        <v>243</v>
      </c>
      <c r="C24" s="24">
        <v>240000</v>
      </c>
    </row>
    <row r="25" spans="2:5">
      <c r="B25" s="4" t="s">
        <v>244</v>
      </c>
      <c r="C25" s="24">
        <v>1150000</v>
      </c>
    </row>
    <row r="27" spans="2:5">
      <c r="B27" s="27" t="s">
        <v>245</v>
      </c>
      <c r="C27" s="28">
        <f>SUM(C18:C25)</f>
        <v>0</v>
      </c>
    </row>
    <row r="29" spans="2:5">
      <c r="B29" s="9" t="s">
        <v>246</v>
      </c>
      <c r="C29" s="9"/>
      <c r="D29" s="9"/>
      <c r="E29" s="9"/>
    </row>
    <row r="30" spans="2:5">
      <c r="B30" s="4" t="s">
        <v>247</v>
      </c>
      <c r="C30" s="15">
        <f>IFERROR(C15/in_unitCount,0)</f>
        <v>0</v>
      </c>
    </row>
    <row r="31" spans="2:5">
      <c r="B31" s="4" t="s">
        <v>248</v>
      </c>
      <c r="C31" s="15">
        <f>IFERROR(C27/in_unitCount,0)</f>
        <v>0</v>
      </c>
    </row>
    <row r="32" spans="2:5">
      <c r="B32" s="7" t="s">
        <v>249</v>
      </c>
      <c r="C32" s="16">
        <f>IFERROR((C15+C27)/in_unitCount,0)</f>
        <v>0</v>
      </c>
    </row>
  </sheetData>
  <mergeCells count="5">
    <mergeCell ref="B2:E2"/>
    <mergeCell ref="B3:E3"/>
    <mergeCell ref="B5:E5"/>
    <mergeCell ref="B17:E17"/>
    <mergeCell ref="B29:E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B89A5B"/>
  </sheetPr>
  <dimension ref="B2:F36"/>
  <sheetViews>
    <sheetView showGridLines="0" workbookViewId="0"/>
  </sheetViews>
  <sheetFormatPr defaultRowHeight="15"/>
  <cols>
    <col min="1" max="1" width="2.7109375" customWidth="1"/>
    <col min="2" max="2" width="28.7109375" customWidth="1"/>
    <col min="3" max="4" width="16.7109375" customWidth="1"/>
    <col min="5" max="5" width="18.7109375" customWidth="1"/>
    <col min="6" max="6" width="28.7109375" customWidth="1"/>
  </cols>
  <sheetData>
    <row r="2" spans="2:6">
      <c r="B2" s="1" t="s">
        <v>250</v>
      </c>
      <c r="C2" s="1"/>
      <c r="D2" s="1"/>
      <c r="E2" s="1"/>
      <c r="F2" s="1"/>
    </row>
    <row r="3" spans="2:6">
      <c r="B3" s="2" t="s">
        <v>251</v>
      </c>
      <c r="C3" s="2"/>
      <c r="D3" s="2"/>
      <c r="E3" s="2"/>
      <c r="F3" s="2"/>
    </row>
    <row r="5" spans="2:6">
      <c r="B5" s="9" t="s">
        <v>252</v>
      </c>
      <c r="C5" s="9"/>
      <c r="D5" s="9"/>
      <c r="E5" s="9"/>
      <c r="F5" s="9"/>
    </row>
    <row r="6" spans="2:6">
      <c r="B6" s="4" t="s">
        <v>57</v>
      </c>
      <c r="C6" s="15">
        <f>in_loanRequest</f>
        <v>0</v>
      </c>
    </row>
    <row r="7" spans="2:6">
      <c r="B7" s="4" t="s">
        <v>253</v>
      </c>
      <c r="C7" s="20">
        <f>cmp_allInRate</f>
        <v>0</v>
      </c>
    </row>
    <row r="8" spans="2:6">
      <c r="B8" s="4" t="s">
        <v>254</v>
      </c>
      <c r="C8" s="20">
        <f>-PMT(cmp_allInRate/12, in_amort, 1) * 12</f>
        <v>0</v>
      </c>
    </row>
    <row r="9" spans="2:6">
      <c r="B9" s="4" t="s">
        <v>255</v>
      </c>
      <c r="C9" s="15">
        <f>in_loanRequest * cmp_loanConstant</f>
        <v>0</v>
      </c>
    </row>
    <row r="11" spans="2:6">
      <c r="B11" s="9" t="s">
        <v>256</v>
      </c>
      <c r="C11" s="9"/>
      <c r="D11" s="9"/>
      <c r="E11" s="9"/>
      <c r="F11" s="9"/>
    </row>
    <row r="12" spans="2:6">
      <c r="B12" s="7" t="s">
        <v>257</v>
      </c>
      <c r="C12" s="23" t="s">
        <v>258</v>
      </c>
      <c r="D12" s="23" t="s">
        <v>259</v>
      </c>
      <c r="E12" s="23" t="s">
        <v>93</v>
      </c>
    </row>
    <row r="13" spans="2:6">
      <c r="B13" s="4" t="s">
        <v>72</v>
      </c>
      <c r="C13" s="18">
        <v>0.75</v>
      </c>
      <c r="D13" s="15">
        <f>out_TPC * in_maxLTC</f>
        <v>0</v>
      </c>
      <c r="E13" s="13" t="s">
        <v>260</v>
      </c>
    </row>
    <row r="14" spans="2:6">
      <c r="B14" s="4" t="s">
        <v>73</v>
      </c>
      <c r="C14" s="18">
        <v>0.7</v>
      </c>
      <c r="D14" s="15">
        <f>out_value_stab * in_maxLTV</f>
        <v>0</v>
      </c>
      <c r="E14" s="13" t="s">
        <v>261</v>
      </c>
    </row>
    <row r="15" spans="2:6">
      <c r="B15" s="4" t="s">
        <v>262</v>
      </c>
      <c r="C15" s="18">
        <v>0.08500000000000001</v>
      </c>
      <c r="D15" s="15">
        <f>IFERROR(out_NOI_stabilized/in_minDY,0)</f>
        <v>0</v>
      </c>
      <c r="E15" s="13" t="s">
        <v>263</v>
      </c>
    </row>
    <row r="16" spans="2:6">
      <c r="B16" s="4" t="s">
        <v>264</v>
      </c>
      <c r="C16" s="30">
        <v>1.25</v>
      </c>
      <c r="D16" s="15">
        <f>IFERROR(out_NOI_stabilized/(in_minDSCR * cmp_loanConstant),0)</f>
        <v>0</v>
      </c>
      <c r="E16" s="13" t="s">
        <v>265</v>
      </c>
    </row>
    <row r="18" spans="2:6">
      <c r="B18" s="9" t="s">
        <v>266</v>
      </c>
      <c r="C18" s="9"/>
      <c r="D18" s="9"/>
      <c r="E18" s="9"/>
      <c r="F18" s="9"/>
    </row>
    <row r="19" spans="2:6">
      <c r="B19" s="7" t="s">
        <v>267</v>
      </c>
      <c r="C19" s="16">
        <f>MIN(cmp_loanByLTC, cmp_loanByLTV, cmp_loanByDY, cmp_loanByDSCR)</f>
        <v>0</v>
      </c>
    </row>
    <row r="20" spans="2:6">
      <c r="B20" s="4" t="s">
        <v>268</v>
      </c>
      <c r="C20" s="15">
        <f>in_loanRequest</f>
        <v>0</v>
      </c>
    </row>
    <row r="21" spans="2:6">
      <c r="B21" s="7" t="s">
        <v>269</v>
      </c>
      <c r="C21" s="16">
        <f>out_maxLoan - in_loanRequest</f>
        <v>0</v>
      </c>
    </row>
    <row r="23" spans="2:6">
      <c r="B23" s="9" t="s">
        <v>270</v>
      </c>
      <c r="C23" s="9"/>
      <c r="D23" s="9"/>
      <c r="E23" s="9"/>
      <c r="F23" s="9"/>
    </row>
    <row r="24" spans="2:6">
      <c r="B24" s="7" t="s">
        <v>72</v>
      </c>
      <c r="C24" s="21">
        <f>IFERROR(in_loanRequest/out_TPC,0)</f>
        <v>0</v>
      </c>
    </row>
    <row r="25" spans="2:6">
      <c r="B25" s="7" t="s">
        <v>73</v>
      </c>
      <c r="C25" s="21">
        <f>IFERROR(in_loanRequest/out_value_stab,0)</f>
        <v>0</v>
      </c>
    </row>
    <row r="26" spans="2:6">
      <c r="B26" s="7" t="s">
        <v>74</v>
      </c>
      <c r="C26" s="21">
        <f>IFERROR(out_NOI_stabilized/in_loanRequest,0)</f>
        <v>0</v>
      </c>
    </row>
    <row r="27" spans="2:6">
      <c r="B27" s="7" t="s">
        <v>75</v>
      </c>
      <c r="C27" s="22">
        <f>IFERROR(out_NOI_stabilized/cmp_annualDebtSvc,0)</f>
        <v>0</v>
      </c>
    </row>
    <row r="28" spans="2:6">
      <c r="B28" s="7" t="s">
        <v>271</v>
      </c>
      <c r="C28" s="21">
        <f>IFERROR((out_NOI_stabilized*(1+in_rentGrowth)^(in_holdPeriod-3))/in_loanRequest,0)</f>
        <v>0</v>
      </c>
    </row>
    <row r="31" spans="2:6">
      <c r="B31" s="9" t="s">
        <v>118</v>
      </c>
      <c r="C31" s="9"/>
      <c r="D31" s="9"/>
    </row>
    <row r="32" spans="2:6">
      <c r="B32" s="7" t="s">
        <v>257</v>
      </c>
      <c r="C32" s="23" t="s">
        <v>272</v>
      </c>
      <c r="D32" s="23" t="s">
        <v>273</v>
      </c>
    </row>
    <row r="33" spans="2:4">
      <c r="B33" s="4" t="s">
        <v>72</v>
      </c>
      <c r="C33" s="15">
        <f>cmp_loanByLTC</f>
        <v>0</v>
      </c>
      <c r="D33" s="15">
        <f>in_loanRequest</f>
        <v>0</v>
      </c>
    </row>
    <row r="34" spans="2:4">
      <c r="B34" s="4" t="s">
        <v>274</v>
      </c>
      <c r="C34" s="15">
        <f>cmp_loanByLTV</f>
        <v>0</v>
      </c>
      <c r="D34" s="15">
        <f>in_loanRequest</f>
        <v>0</v>
      </c>
    </row>
    <row r="35" spans="2:4">
      <c r="B35" s="4" t="s">
        <v>275</v>
      </c>
      <c r="C35" s="15">
        <f>cmp_loanByDY</f>
        <v>0</v>
      </c>
      <c r="D35" s="15">
        <f>in_loanRequest</f>
        <v>0</v>
      </c>
    </row>
    <row r="36" spans="2:4">
      <c r="B36" s="4" t="s">
        <v>75</v>
      </c>
      <c r="C36" s="15">
        <f>cmp_loanByDSCR</f>
        <v>0</v>
      </c>
      <c r="D36" s="15">
        <f>in_loanRequest</f>
        <v>0</v>
      </c>
    </row>
  </sheetData>
  <mergeCells count="7">
    <mergeCell ref="B2:F2"/>
    <mergeCell ref="B3:F3"/>
    <mergeCell ref="B5:F5"/>
    <mergeCell ref="B11:F11"/>
    <mergeCell ref="B18:F18"/>
    <mergeCell ref="B23:F23"/>
    <mergeCell ref="B31:D31"/>
  </mergeCells>
  <conditionalFormatting sqref="C21">
    <cfRule type="cellIs" dxfId="0" priority="1" operator="lessThan">
      <formula>0</formula>
    </cfRule>
  </conditionalFormatting>
  <pageMargins left="0.5" right="0.5" top="0.5" bottom="0.5" header="0.3" footer="0.3"/>
  <pageSetup paperSize="1" orientation="portrait"/>
  <headerFooter>
    <oddHeader>&amp;L&amp;"Cambria,Bold"Valore Registry — UW Workbook&amp;R&amp;[Deal Name]</oddHeader>
    <oddFooter>&amp;LLoan Sizing&amp;CConfidential — internal use only&amp;RPage &amp;P of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B89A5B"/>
  </sheetPr>
  <dimension ref="B2:E25"/>
  <sheetViews>
    <sheetView showGridLines="0" workbookViewId="0"/>
  </sheetViews>
  <sheetFormatPr defaultRowHeight="15"/>
  <cols>
    <col min="1" max="1" width="2.7109375" customWidth="1"/>
    <col min="2" max="2" width="30.7109375" customWidth="1"/>
    <col min="3" max="3" width="16.7109375" customWidth="1"/>
    <col min="4" max="4" width="14.7109375" customWidth="1"/>
    <col min="5" max="5" width="24.7109375" customWidth="1"/>
  </cols>
  <sheetData>
    <row r="2" spans="2:5">
      <c r="B2" s="1" t="s">
        <v>276</v>
      </c>
      <c r="C2" s="1"/>
      <c r="D2" s="1"/>
      <c r="E2" s="1"/>
    </row>
    <row r="3" spans="2:5">
      <c r="B3" s="2" t="s">
        <v>277</v>
      </c>
      <c r="C3" s="2"/>
      <c r="D3" s="2"/>
      <c r="E3" s="2"/>
    </row>
    <row r="5" spans="2:5">
      <c r="B5" s="9" t="s">
        <v>278</v>
      </c>
      <c r="C5" s="9"/>
      <c r="D5" s="9"/>
      <c r="E5" s="9"/>
    </row>
    <row r="6" spans="2:5">
      <c r="B6" s="4" t="s">
        <v>279</v>
      </c>
      <c r="C6" s="6" t="s">
        <v>280</v>
      </c>
      <c r="D6" s="13" t="s">
        <v>281</v>
      </c>
      <c r="E6" s="13"/>
    </row>
    <row r="8" spans="2:5">
      <c r="B8" s="9" t="s">
        <v>282</v>
      </c>
      <c r="C8" s="9"/>
      <c r="D8" s="9"/>
      <c r="E8" s="9"/>
    </row>
    <row r="9" spans="2:5">
      <c r="B9" s="4" t="s">
        <v>283</v>
      </c>
      <c r="C9" s="20">
        <f>IF(in_capRatePreset="Multifamily Sun Belt",0.0500,IF(in_capRatePreset="Office Class A",0.0625,IF(in_capRatePreset="Industrial NNN",0.0525,0.0575)))</f>
        <v>0</v>
      </c>
    </row>
    <row r="10" spans="2:5">
      <c r="B10" s="4" t="s">
        <v>284</v>
      </c>
      <c r="C10" s="20">
        <f>IF(in_capRatePreset="Multifamily Sun Belt",0.0525,IF(in_capRatePreset="Office Class A",0.0650,IF(in_capRatePreset="Industrial NNN",0.0500,0.055)))</f>
        <v>0</v>
      </c>
    </row>
    <row r="11" spans="2:5">
      <c r="B11" s="4" t="s">
        <v>285</v>
      </c>
      <c r="C11" s="20">
        <f>IF(in_capRatePreset="Multifamily Sun Belt",0.0575,IF(in_capRatePreset="Office Class A",0.0700,IF(in_capRatePreset="Industrial NNN",0.0550,0.0575)))</f>
        <v>0</v>
      </c>
    </row>
    <row r="12" spans="2:5">
      <c r="B12" s="4" t="s">
        <v>286</v>
      </c>
      <c r="C12" s="31">
        <v>5</v>
      </c>
    </row>
    <row r="13" spans="2:5">
      <c r="B13" s="4" t="s">
        <v>287</v>
      </c>
      <c r="C13" s="18">
        <v>0.02</v>
      </c>
    </row>
    <row r="15" spans="2:5">
      <c r="B15" s="9" t="s">
        <v>288</v>
      </c>
      <c r="C15" s="9"/>
      <c r="D15" s="9"/>
      <c r="E15" s="9"/>
    </row>
    <row r="16" spans="2:5">
      <c r="B16" s="7" t="s">
        <v>79</v>
      </c>
      <c r="C16" s="16">
        <f>IFERROR(out_NOI_stabilized/in_stabilizedCap,0)</f>
        <v>0</v>
      </c>
    </row>
    <row r="17" spans="2:5">
      <c r="B17" s="4" t="s">
        <v>289</v>
      </c>
      <c r="C17" s="15">
        <f>IFERROR(C16/in_unitCount,0)</f>
        <v>0</v>
      </c>
    </row>
    <row r="18" spans="2:5">
      <c r="B18" s="4" t="s">
        <v>290</v>
      </c>
      <c r="C18" s="15">
        <f>IFERROR(C16/in_buildingSF,0)</f>
        <v>0</v>
      </c>
    </row>
    <row r="19" spans="2:5">
      <c r="B19" s="4" t="s">
        <v>291</v>
      </c>
      <c r="C19" s="24">
        <v>240000</v>
      </c>
    </row>
    <row r="20" spans="2:5">
      <c r="B20" s="4" t="s">
        <v>292</v>
      </c>
      <c r="C20" s="15">
        <f>in_replCostPerUnit*in_unitCount</f>
        <v>0</v>
      </c>
    </row>
    <row r="21" spans="2:5">
      <c r="B21" s="4" t="s">
        <v>293</v>
      </c>
      <c r="C21" s="32">
        <f>IFERROR(C16/C20,0)</f>
        <v>0</v>
      </c>
    </row>
    <row r="23" spans="2:5">
      <c r="B23" s="9" t="s">
        <v>294</v>
      </c>
      <c r="C23" s="9"/>
      <c r="D23" s="9"/>
      <c r="E23" s="9"/>
    </row>
    <row r="24" spans="2:5">
      <c r="B24" s="4" t="s">
        <v>295</v>
      </c>
      <c r="C24" s="15">
        <f>out_NOI_stabilized * (1 + in_rentGrowth)^(in_holdPeriod - 3)</f>
        <v>0</v>
      </c>
    </row>
    <row r="25" spans="2:5">
      <c r="B25" s="7" t="s">
        <v>296</v>
      </c>
      <c r="C25" s="16">
        <f>IFERROR(cmp_NOI_exit/in_exitCap,0)</f>
        <v>0</v>
      </c>
    </row>
  </sheetData>
  <mergeCells count="7">
    <mergeCell ref="B2:E2"/>
    <mergeCell ref="B3:E3"/>
    <mergeCell ref="B5:E5"/>
    <mergeCell ref="D6:E6"/>
    <mergeCell ref="B8:E8"/>
    <mergeCell ref="B15:E15"/>
    <mergeCell ref="B23:E23"/>
  </mergeCells>
  <dataValidations count="1">
    <dataValidation type="list" allowBlank="1" showInputMessage="1" showErrorMessage="1" sqref="C6">
      <formula1>"Multifamily Sun Belt,Office Class A,Industrial NNN,Custom"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118</vt:i4>
      </vt:variant>
    </vt:vector>
  </HeadingPairs>
  <TitlesOfParts>
    <vt:vector size="132" baseType="lpstr">
      <vt:lpstr>Cover</vt:lpstr>
      <vt:lpstr>Deal Summary</vt:lpstr>
      <vt:lpstr>Sources Uses</vt:lpstr>
      <vt:lpstr>Rent Roll</vt:lpstr>
      <vt:lpstr>T-12</vt:lpstr>
      <vt:lpstr>Pro Forma</vt:lpstr>
      <vt:lpstr>Construction</vt:lpstr>
      <vt:lpstr>Loan Sizing</vt:lpstr>
      <vt:lpstr>Valuation</vt:lpstr>
      <vt:lpstr>Exit Refi</vt:lpstr>
      <vt:lpstr>Sensitivity</vt:lpstr>
      <vt:lpstr>Dashboard</vt:lpstr>
      <vt:lpstr>IC Output</vt:lpstr>
      <vt:lpstr>Data Checks</vt:lpstr>
      <vt:lpstr>cfg_address</vt:lpstr>
      <vt:lpstr>cfg_assetType</vt:lpstr>
      <vt:lpstr>cfg_dealName</vt:lpstr>
      <vt:lpstr>cfg_dealType</vt:lpstr>
      <vt:lpstr>cfg_modelDate</vt:lpstr>
      <vt:lpstr>cfg_preparedBy</vt:lpstr>
      <vt:lpstr>cfg_sponsor</vt:lpstr>
      <vt:lpstr>cmp_allInRate</vt:lpstr>
      <vt:lpstr>cmp_annualDebtSvc</vt:lpstr>
      <vt:lpstr>cmp_contingency</vt:lpstr>
      <vt:lpstr>cmp_GPR_rentRoll</vt:lpstr>
      <vt:lpstr>cmp_interestReserve</vt:lpstr>
      <vt:lpstr>cmp_loanByDSCR</vt:lpstr>
      <vt:lpstr>cmp_loanByDY</vt:lpstr>
      <vt:lpstr>cmp_loanByLTC</vt:lpstr>
      <vt:lpstr>cmp_loanByLTV</vt:lpstr>
      <vt:lpstr>cmp_loanConstant</vt:lpstr>
      <vt:lpstr>cmp_NOI_exit</vt:lpstr>
      <vt:lpstr>cmp_T12_EGI</vt:lpstr>
      <vt:lpstr>cmp_T12_NOI</vt:lpstr>
      <vt:lpstr>cmp_T12_opex</vt:lpstr>
      <vt:lpstr>cmp_totalSources</vt:lpstr>
      <vt:lpstr>cmp_unitCount_rentRoll</vt:lpstr>
      <vt:lpstr>in_amort</vt:lpstr>
      <vt:lpstr>in_avgOutstandingPct</vt:lpstr>
      <vt:lpstr>in_buildingSF</vt:lpstr>
      <vt:lpstr>in_capRatePreset</vt:lpstr>
      <vt:lpstr>in_contingencyPct</vt:lpstr>
      <vt:lpstr>in_creditLoss</vt:lpstr>
      <vt:lpstr>in_exitCap</vt:lpstr>
      <vt:lpstr>in_exitFee</vt:lpstr>
      <vt:lpstr>in_goingInCap</vt:lpstr>
      <vt:lpstr>in_holdPeriod</vt:lpstr>
      <vt:lpstr>in_indexRate</vt:lpstr>
      <vt:lpstr>in_ioPeriod</vt:lpstr>
      <vt:lpstr>in_landAcres</vt:lpstr>
      <vt:lpstr>in_loanRequest</vt:lpstr>
      <vt:lpstr>in_loanType</vt:lpstr>
      <vt:lpstr>in_maxLTC</vt:lpstr>
      <vt:lpstr>in_maxLTV</vt:lpstr>
      <vt:lpstr>in_mgmtFeePct</vt:lpstr>
      <vt:lpstr>in_minDSCR</vt:lpstr>
      <vt:lpstr>in_minDY</vt:lpstr>
      <vt:lpstr>in_opexInflation</vt:lpstr>
      <vt:lpstr>in_origFee</vt:lpstr>
      <vt:lpstr>in_otherIncomeGrowth</vt:lpstr>
      <vt:lpstr>in_rateFloor</vt:lpstr>
      <vt:lpstr>in_recommendation</vt:lpstr>
      <vt:lpstr>in_refiConstant</vt:lpstr>
      <vt:lpstr>in_refiMaxLTV</vt:lpstr>
      <vt:lpstr>in_refiMinDSCR</vt:lpstr>
      <vt:lpstr>in_refiMinDY</vt:lpstr>
      <vt:lpstr>in_rentGrowth</vt:lpstr>
      <vt:lpstr>in_replCostPerUnit</vt:lpstr>
      <vt:lpstr>in_reservesPerUnit</vt:lpstr>
      <vt:lpstr>in_salesCostPct</vt:lpstr>
      <vt:lpstr>in_spread</vt:lpstr>
      <vt:lpstr>in_srcGP</vt:lpstr>
      <vt:lpstr>in_srcGrants</vt:lpstr>
      <vt:lpstr>in_srcLP</vt:lpstr>
      <vt:lpstr>in_srcMezz</vt:lpstr>
      <vt:lpstr>in_srcOther</vt:lpstr>
      <vt:lpstr>in_srcPACE</vt:lpstr>
      <vt:lpstr>in_srcPref</vt:lpstr>
      <vt:lpstr>in_srcSenior</vt:lpstr>
      <vt:lpstr>in_stab_contract</vt:lpstr>
      <vt:lpstr>in_stab_ga</vt:lpstr>
      <vt:lpstr>in_stab_insurance</vt:lpstr>
      <vt:lpstr>in_stab_marketing</vt:lpstr>
      <vt:lpstr>in_stab_occupancy</vt:lpstr>
      <vt:lpstr>in_stab_other</vt:lpstr>
      <vt:lpstr>in_stab_otherIncomePerUnit</vt:lpstr>
      <vt:lpstr>in_stab_payroll</vt:lpstr>
      <vt:lpstr>in_stab_rentPerUnit</vt:lpstr>
      <vt:lpstr>in_stab_rm</vt:lpstr>
      <vt:lpstr>in_stab_taxes</vt:lpstr>
      <vt:lpstr>in_stab_utilities</vt:lpstr>
      <vt:lpstr>in_stab_vacancy</vt:lpstr>
      <vt:lpstr>in_stabilizedCap</vt:lpstr>
      <vt:lpstr>in_term</vt:lpstr>
      <vt:lpstr>in_unitCount</vt:lpstr>
      <vt:lpstr>in_useClosing</vt:lpstr>
      <vt:lpstr>in_useFFE</vt:lpstr>
      <vt:lpstr>in_useFinancing</vt:lpstr>
      <vt:lpstr>in_useHardCost</vt:lpstr>
      <vt:lpstr>in_useOpReserve</vt:lpstr>
      <vt:lpstr>in_useOther</vt:lpstr>
      <vt:lpstr>in_usePurchase</vt:lpstr>
      <vt:lpstr>in_useSoftCost</vt:lpstr>
      <vt:lpstr>in_useTIReserve</vt:lpstr>
      <vt:lpstr>in_yearBuilt</vt:lpstr>
      <vt:lpstr>out_dataChecksPass</vt:lpstr>
      <vt:lpstr>out_debtYield</vt:lpstr>
      <vt:lpstr>out_debtYield_exit</vt:lpstr>
      <vt:lpstr>out_DSCR</vt:lpstr>
      <vt:lpstr>out_EGI_stabilized</vt:lpstr>
      <vt:lpstr>out_loanCushion</vt:lpstr>
      <vt:lpstr>out_LTC</vt:lpstr>
      <vt:lpstr>out_LTC</vt:lpstr>
      <vt:lpstr>out_LTV_stab</vt:lpstr>
      <vt:lpstr>out_maxLoan</vt:lpstr>
      <vt:lpstr>out_netToEquity</vt:lpstr>
      <vt:lpstr>out_NOI_stabilized</vt:lpstr>
      <vt:lpstr>out_opex_stabilized</vt:lpstr>
      <vt:lpstr>out_refiMaxLoan</vt:lpstr>
      <vt:lpstr>out_salePrice</vt:lpstr>
      <vt:lpstr>out_SUgap</vt:lpstr>
      <vt:lpstr>out_TPC</vt:lpstr>
      <vt:lpstr>out_value_exit</vt:lpstr>
      <vt:lpstr>out_value_stab</vt:lpstr>
      <vt:lpstr>out_YOC</vt:lpstr>
      <vt:lpstr>Cover!Print_Area</vt:lpstr>
      <vt:lpstr>Dashboard!Print_Area</vt:lpstr>
      <vt:lpstr>'Deal Summary'!Print_Area</vt:lpstr>
      <vt:lpstr>'IC Output'!Print_Area</vt:lpstr>
      <vt:lpstr>'Loan Sizing'!Print_Area</vt:lpstr>
      <vt:lpstr>'Pro Forma'!Print_Area</vt:lpstr>
      <vt:lpstr>'Sources Uses'!Print_Area</vt:lpstr>
    </vt:vector>
  </TitlesOfParts>
  <Manager>Mark Kuklis</Manager>
  <Company>Valore Registry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Valore Registry — UW Workbook</dc:title>
  <dc:subject>CRE Underwriting Workbook</dc:subject>
  <dc:creator>Valore Registry</dc:creator>
  <cp:keywords>CRE, underwriting, lender, debt, equity, valuation</cp:keywords>
  <dc:description>Version 1.0 · 2026-05-21 · Sample-filled</dc:description>
  <cp:lastModifiedBy>Valore Registry</cp:lastModifiedBy>
  <dcterms:created xsi:type="dcterms:W3CDTF">2026-05-29T23:23:41Z</dcterms:created>
  <dcterms:modified xsi:type="dcterms:W3CDTF">2026-05-29T23:23:41Z</dcterms:modified>
  <cp:category>CRE Templates</cp:category>
</cp:coreProperties>
</file>